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pivotTables/pivotTable1.xml" ContentType="application/vnd.openxmlformats-officedocument.spreadsheetml.pivotTable+xml"/>
  <Override PartName="/xl/tables/table6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updateLinks="always" codeName="ThisWorkbook" hidePivotFieldList="1"/>
  <mc:AlternateContent xmlns:mc="http://schemas.openxmlformats.org/markup-compatibility/2006">
    <mc:Choice Requires="x15">
      <x15ac:absPath xmlns:x15ac="http://schemas.microsoft.com/office/spreadsheetml/2010/11/ac" url="https://flankspeed-my.sharepoint-mil.us/personal/susanne_r_benzick_civ_us_navy_mil/Documents/Desktop/"/>
    </mc:Choice>
  </mc:AlternateContent>
  <xr:revisionPtr revIDLastSave="3" documentId="13_ncr:1_{52EDB9C6-ECC2-45B3-8899-60B877E79870}" xr6:coauthVersionLast="47" xr6:coauthVersionMax="47" xr10:uidLastSave="{516A3811-187A-4F8E-B152-8F3EAFCF7A20}"/>
  <bookViews>
    <workbookView xWindow="-28920" yWindow="90" windowWidth="29040" windowHeight="15630" firstSheet="8" activeTab="13" xr2:uid="{00000000-000D-0000-FFFF-FFFF00000000}"/>
  </bookViews>
  <sheets>
    <sheet name="Sheet1" sheetId="21" state="hidden" r:id="rId1"/>
    <sheet name="Course Counts" sheetId="8" state="hidden" r:id="rId2"/>
    <sheet name="Plan vs Need v1" sheetId="11" state="hidden" r:id="rId3"/>
    <sheet name="Instructor Totals- Days" sheetId="15" state="hidden" r:id="rId4"/>
    <sheet name="Instructor Totals-Weeks" sheetId="14" state="hidden" r:id="rId5"/>
    <sheet name="Location Count" sheetId="9" state="hidden" r:id="rId6"/>
    <sheet name="Data" sheetId="3" state="hidden" r:id="rId7"/>
    <sheet name="Sheet2" sheetId="23" state="hidden" r:id="rId8"/>
    <sheet name="FY24 Status" sheetId="17" r:id="rId9"/>
    <sheet name="Sheet3" sheetId="26" state="hidden" r:id="rId10"/>
    <sheet name="Bi-Weekly" sheetId="25" state="hidden" r:id="rId11"/>
    <sheet name="%" sheetId="20" state="hidden" r:id="rId12"/>
    <sheet name="FY24 Canceled" sheetId="22" state="hidden" r:id="rId13"/>
    <sheet name="FY 2024 Chron" sheetId="1" r:id="rId14"/>
  </sheets>
  <definedNames>
    <definedName name="_xlnm._FilterDatabase" localSheetId="12" hidden="1">'FY24 Canceled'!$A$1:$XEY$127</definedName>
    <definedName name="_xlnm._FilterDatabase" localSheetId="3" hidden="1">'Instructor Totals- Days'!$A$1:$E$1</definedName>
    <definedName name="_xlnm._FilterDatabase" localSheetId="4" hidden="1">'Instructor Totals-Weeks'!$A$1:$E$1</definedName>
    <definedName name="_xlnm._FilterDatabase" localSheetId="2" hidden="1">'Plan vs Need v1'!$A$43:$D$43</definedName>
    <definedName name="CIN">Data!$B$2:$B$53</definedName>
    <definedName name="Class">Data!$A$2:$A$53</definedName>
    <definedName name="Courses">Data!$A$2:$C$53</definedName>
    <definedName name="HighlightRow" localSheetId="13">2</definedName>
    <definedName name="HighlightRow">10</definedName>
    <definedName name="Instructor">Data!$F$2:$F$21</definedName>
    <definedName name="Location">Data!$J$2:$J$87</definedName>
    <definedName name="_xlnm.Print_Area" localSheetId="13">'FY 2024 Chron'!$A$1:$Z$466</definedName>
    <definedName name="_xlnm.Print_Area" localSheetId="8">'FY24 Status'!$B$3:$Y$40</definedName>
    <definedName name="_xlnm.Print_Area" localSheetId="3">'Instructor Totals- Days'!$A$1:$E$20</definedName>
    <definedName name="_xlnm.Print_Area" localSheetId="4">'Instructor Totals-Weeks'!$A$1:$E$20</definedName>
    <definedName name="_xlnm.Print_Area" localSheetId="2">'Plan vs Need v1'!$A$3:$I$52</definedName>
    <definedName name="Roster">Data!$L$2:$L$5</definedName>
  </definedNames>
  <calcPr calcId="191028"/>
  <pivotCaches>
    <pivotCache cacheId="0" r:id="rId1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38" i="22" l="1"/>
  <c r="C138" i="22"/>
  <c r="C137" i="22"/>
  <c r="C136" i="22"/>
  <c r="C135" i="22"/>
  <c r="C134" i="22"/>
  <c r="C133" i="22"/>
  <c r="C132" i="22"/>
  <c r="C453" i="1"/>
  <c r="D453" i="1"/>
  <c r="AA453" i="1"/>
  <c r="AB453" i="1"/>
  <c r="AC453" i="1"/>
  <c r="AF129" i="22"/>
  <c r="AE129" i="22"/>
  <c r="AD129" i="22"/>
  <c r="W129" i="22"/>
  <c r="V129" i="22"/>
  <c r="D129" i="22"/>
  <c r="C129" i="22"/>
  <c r="AC197" i="1"/>
  <c r="AB197" i="1"/>
  <c r="AA197" i="1"/>
  <c r="D197" i="1"/>
  <c r="C197" i="1"/>
  <c r="AC189" i="1"/>
  <c r="AB189" i="1"/>
  <c r="AA189" i="1"/>
  <c r="D189" i="1"/>
  <c r="C189" i="1"/>
  <c r="C159" i="1"/>
  <c r="D159" i="1"/>
  <c r="AA159" i="1"/>
  <c r="AB159" i="1"/>
  <c r="AC159" i="1"/>
  <c r="AF128" i="22"/>
  <c r="AE128" i="22"/>
  <c r="AD128" i="22"/>
  <c r="W128" i="22"/>
  <c r="C264" i="1"/>
  <c r="D264" i="1"/>
  <c r="AA264" i="1"/>
  <c r="AB264" i="1"/>
  <c r="AC264" i="1"/>
  <c r="L19" i="17"/>
  <c r="L18" i="17"/>
  <c r="AF127" i="22"/>
  <c r="AE127" i="22"/>
  <c r="AD127" i="22"/>
  <c r="W127" i="22"/>
  <c r="V127" i="22"/>
  <c r="C127" i="22"/>
  <c r="C457" i="1"/>
  <c r="D457" i="1"/>
  <c r="AA457" i="1"/>
  <c r="AB457" i="1"/>
  <c r="AC457" i="1"/>
  <c r="C412" i="1"/>
  <c r="D412" i="1"/>
  <c r="AA412" i="1"/>
  <c r="AB412" i="1"/>
  <c r="AC412" i="1"/>
  <c r="C326" i="1"/>
  <c r="D326" i="1"/>
  <c r="AA326" i="1"/>
  <c r="AB326" i="1"/>
  <c r="AC326" i="1"/>
  <c r="C177" i="1"/>
  <c r="D177" i="1"/>
  <c r="AA177" i="1"/>
  <c r="AB177" i="1"/>
  <c r="AC177" i="1"/>
  <c r="AA126" i="22"/>
  <c r="Z126" i="22"/>
  <c r="Y126" i="22"/>
  <c r="R126" i="22"/>
  <c r="Q126" i="22"/>
  <c r="C126" i="22"/>
  <c r="X465" i="1"/>
  <c r="V465" i="1"/>
  <c r="C125" i="22"/>
  <c r="C387" i="1"/>
  <c r="D387" i="1"/>
  <c r="AA387" i="1"/>
  <c r="AB387" i="1"/>
  <c r="AC387" i="1"/>
  <c r="AC244" i="1"/>
  <c r="AB244" i="1"/>
  <c r="AA244" i="1"/>
  <c r="D244" i="1"/>
  <c r="C244" i="1"/>
  <c r="AF123" i="22"/>
  <c r="AE123" i="22"/>
  <c r="AD123" i="22"/>
  <c r="W123" i="22"/>
  <c r="V123" i="22"/>
  <c r="C123" i="22"/>
  <c r="AC191" i="1"/>
  <c r="AB191" i="1"/>
  <c r="AA191" i="1"/>
  <c r="U191" i="1"/>
  <c r="T191" i="1"/>
  <c r="D191" i="1"/>
  <c r="C191" i="1"/>
  <c r="C97" i="1"/>
  <c r="C464" i="1"/>
  <c r="D464" i="1"/>
  <c r="AA464" i="1"/>
  <c r="AB464" i="1"/>
  <c r="AC464" i="1"/>
  <c r="AD2" i="22"/>
  <c r="AE2" i="22"/>
  <c r="AF2" i="22"/>
  <c r="AD4" i="22"/>
  <c r="AE4" i="22"/>
  <c r="AF4" i="22"/>
  <c r="AD5" i="22"/>
  <c r="AE5" i="22"/>
  <c r="AF5" i="22"/>
  <c r="AD10" i="22"/>
  <c r="AE10" i="22"/>
  <c r="AF10" i="22"/>
  <c r="AD14" i="22"/>
  <c r="AE14" i="22"/>
  <c r="AF14" i="22"/>
  <c r="AD15" i="22"/>
  <c r="AE15" i="22"/>
  <c r="AF15" i="22"/>
  <c r="AD22" i="22"/>
  <c r="AE22" i="22"/>
  <c r="AF22" i="22"/>
  <c r="AD23" i="22"/>
  <c r="AE23" i="22"/>
  <c r="AF23" i="22"/>
  <c r="AD28" i="22"/>
  <c r="AE28" i="22"/>
  <c r="AF28" i="22"/>
  <c r="AD29" i="22"/>
  <c r="AE29" i="22"/>
  <c r="AF29" i="22"/>
  <c r="AD118" i="22"/>
  <c r="AE118" i="22"/>
  <c r="AF118" i="22"/>
  <c r="AD119" i="22"/>
  <c r="AE119" i="22"/>
  <c r="AF119" i="22"/>
  <c r="AD120" i="22"/>
  <c r="AE120" i="22"/>
  <c r="AF120" i="22"/>
  <c r="AD33" i="22"/>
  <c r="AE33" i="22"/>
  <c r="AF33" i="22"/>
  <c r="AD34" i="22"/>
  <c r="AE34" i="22"/>
  <c r="AF34" i="22"/>
  <c r="AD37" i="22"/>
  <c r="AE37" i="22"/>
  <c r="AF37" i="22"/>
  <c r="AD38" i="22"/>
  <c r="AE38" i="22"/>
  <c r="AF38" i="22"/>
  <c r="AD41" i="22"/>
  <c r="AE41" i="22"/>
  <c r="AF41" i="22"/>
  <c r="AD42" i="22"/>
  <c r="AE42" i="22"/>
  <c r="AF42" i="22"/>
  <c r="AD43" i="22"/>
  <c r="AE43" i="22"/>
  <c r="AF43" i="22"/>
  <c r="AD44" i="22"/>
  <c r="AE44" i="22"/>
  <c r="AF44" i="22"/>
  <c r="AD45" i="22"/>
  <c r="AE45" i="22"/>
  <c r="AF45" i="22"/>
  <c r="AD48" i="22"/>
  <c r="AE48" i="22"/>
  <c r="AF48" i="22"/>
  <c r="AD49" i="22"/>
  <c r="AE49" i="22"/>
  <c r="AF49" i="22"/>
  <c r="AD53" i="22"/>
  <c r="AE53" i="22"/>
  <c r="AF53" i="22"/>
  <c r="AD54" i="22"/>
  <c r="AE54" i="22"/>
  <c r="AF54" i="22"/>
  <c r="AD55" i="22"/>
  <c r="AE55" i="22"/>
  <c r="AF55" i="22"/>
  <c r="AD56" i="22"/>
  <c r="AE56" i="22"/>
  <c r="AF56" i="22"/>
  <c r="AD57" i="22"/>
  <c r="AE57" i="22"/>
  <c r="AF57" i="22"/>
  <c r="AD58" i="22"/>
  <c r="AE58" i="22"/>
  <c r="AF58" i="22"/>
  <c r="AD63" i="22"/>
  <c r="AE63" i="22"/>
  <c r="AF63" i="22"/>
  <c r="AD65" i="22"/>
  <c r="AE65" i="22"/>
  <c r="AF65" i="22"/>
  <c r="AD66" i="22"/>
  <c r="AE66" i="22"/>
  <c r="AF66" i="22"/>
  <c r="AD69" i="22"/>
  <c r="AE69" i="22"/>
  <c r="AF69" i="22"/>
  <c r="AD70" i="22"/>
  <c r="AE70" i="22"/>
  <c r="AF70" i="22"/>
  <c r="AD72" i="22"/>
  <c r="AE72" i="22"/>
  <c r="AF72" i="22"/>
  <c r="AD73" i="22"/>
  <c r="AE73" i="22"/>
  <c r="AF73" i="22"/>
  <c r="AD77" i="22"/>
  <c r="AE77" i="22"/>
  <c r="AF77" i="22"/>
  <c r="AD79" i="22"/>
  <c r="AE79" i="22"/>
  <c r="AF79" i="22"/>
  <c r="AD80" i="22"/>
  <c r="AE80" i="22"/>
  <c r="AF80" i="22"/>
  <c r="AD81" i="22"/>
  <c r="AE81" i="22"/>
  <c r="AF81" i="22"/>
  <c r="AD82" i="22"/>
  <c r="AE82" i="22"/>
  <c r="AF82" i="22"/>
  <c r="AD83" i="22"/>
  <c r="AE83" i="22"/>
  <c r="AF83" i="22"/>
  <c r="AD84" i="22"/>
  <c r="AE84" i="22"/>
  <c r="AF84" i="22"/>
  <c r="AD85" i="22"/>
  <c r="AE85" i="22"/>
  <c r="AF85" i="22"/>
  <c r="AD89" i="22"/>
  <c r="AE89" i="22"/>
  <c r="AF89" i="22"/>
  <c r="AD91" i="22"/>
  <c r="AE91" i="22"/>
  <c r="AF91" i="22"/>
  <c r="AD93" i="22"/>
  <c r="AE93" i="22"/>
  <c r="AF93" i="22"/>
  <c r="AD95" i="22"/>
  <c r="AE95" i="22"/>
  <c r="AF95" i="22"/>
  <c r="AD96" i="22"/>
  <c r="AE96" i="22"/>
  <c r="AF96" i="22"/>
  <c r="AD97" i="22"/>
  <c r="AE97" i="22"/>
  <c r="AF97" i="22"/>
  <c r="AD98" i="22"/>
  <c r="AE98" i="22"/>
  <c r="AF98" i="22"/>
  <c r="AD100" i="22"/>
  <c r="AE100" i="22"/>
  <c r="AF100" i="22"/>
  <c r="AD101" i="22"/>
  <c r="AE101" i="22"/>
  <c r="AF101" i="22"/>
  <c r="AD102" i="22"/>
  <c r="AE102" i="22"/>
  <c r="AF102" i="22"/>
  <c r="AD103" i="22"/>
  <c r="AE103" i="22"/>
  <c r="AF103" i="22"/>
  <c r="AD105" i="22"/>
  <c r="AE105" i="22"/>
  <c r="AF105" i="22"/>
  <c r="AD106" i="22"/>
  <c r="AE106" i="22"/>
  <c r="AF106" i="22"/>
  <c r="AD109" i="22"/>
  <c r="AE109" i="22"/>
  <c r="AF109" i="22"/>
  <c r="AD110" i="22"/>
  <c r="AE110" i="22"/>
  <c r="AF110" i="22"/>
  <c r="AD111" i="22"/>
  <c r="AE111" i="22"/>
  <c r="AF111" i="22"/>
  <c r="AD112" i="22"/>
  <c r="AE112" i="22"/>
  <c r="AF112" i="22"/>
  <c r="AD114" i="22"/>
  <c r="AE114" i="22"/>
  <c r="AF114" i="22"/>
  <c r="AD115" i="22"/>
  <c r="AE115" i="22"/>
  <c r="AF115" i="22"/>
  <c r="V14" i="22"/>
  <c r="W14" i="22"/>
  <c r="V22" i="22"/>
  <c r="W22" i="22"/>
  <c r="V23" i="22"/>
  <c r="W23" i="22"/>
  <c r="V28" i="22"/>
  <c r="W28" i="22"/>
  <c r="V29" i="22"/>
  <c r="W29" i="22"/>
  <c r="V118" i="22"/>
  <c r="W118" i="22"/>
  <c r="V119" i="22"/>
  <c r="W119" i="22"/>
  <c r="V120" i="22"/>
  <c r="W120" i="22"/>
  <c r="V33" i="22"/>
  <c r="W33" i="22"/>
  <c r="V34" i="22"/>
  <c r="W34" i="22"/>
  <c r="V37" i="22"/>
  <c r="W37" i="22"/>
  <c r="V38" i="22"/>
  <c r="W38" i="22"/>
  <c r="V41" i="22"/>
  <c r="W41" i="22"/>
  <c r="V42" i="22"/>
  <c r="W42" i="22"/>
  <c r="V43" i="22"/>
  <c r="W43" i="22"/>
  <c r="V44" i="22"/>
  <c r="W44" i="22"/>
  <c r="V45" i="22"/>
  <c r="W45" i="22"/>
  <c r="V48" i="22"/>
  <c r="W48" i="22"/>
  <c r="V49" i="22"/>
  <c r="W49" i="22"/>
  <c r="V53" i="22"/>
  <c r="W53" i="22"/>
  <c r="V54" i="22"/>
  <c r="W54" i="22"/>
  <c r="V55" i="22"/>
  <c r="W55" i="22"/>
  <c r="V56" i="22"/>
  <c r="W56" i="22"/>
  <c r="V57" i="22"/>
  <c r="W57" i="22"/>
  <c r="V58" i="22"/>
  <c r="W58" i="22"/>
  <c r="V63" i="22"/>
  <c r="W63" i="22"/>
  <c r="V65" i="22"/>
  <c r="W65" i="22"/>
  <c r="V66" i="22"/>
  <c r="W66" i="22"/>
  <c r="V69" i="22"/>
  <c r="W69" i="22"/>
  <c r="V70" i="22"/>
  <c r="W70" i="22"/>
  <c r="V72" i="22"/>
  <c r="W72" i="22"/>
  <c r="V73" i="22"/>
  <c r="W73" i="22"/>
  <c r="V77" i="22"/>
  <c r="W77" i="22"/>
  <c r="V79" i="22"/>
  <c r="W79" i="22"/>
  <c r="V80" i="22"/>
  <c r="W80" i="22"/>
  <c r="V81" i="22"/>
  <c r="W81" i="22"/>
  <c r="V82" i="22"/>
  <c r="W82" i="22"/>
  <c r="V83" i="22"/>
  <c r="W83" i="22"/>
  <c r="V84" i="22"/>
  <c r="W84" i="22"/>
  <c r="V85" i="22"/>
  <c r="W85" i="22"/>
  <c r="V89" i="22"/>
  <c r="W89" i="22"/>
  <c r="V91" i="22"/>
  <c r="W91" i="22"/>
  <c r="V93" i="22"/>
  <c r="W93" i="22"/>
  <c r="V95" i="22"/>
  <c r="W95" i="22"/>
  <c r="V96" i="22"/>
  <c r="W96" i="22"/>
  <c r="V97" i="22"/>
  <c r="W97" i="22"/>
  <c r="V98" i="22"/>
  <c r="W98" i="22"/>
  <c r="V100" i="22"/>
  <c r="W100" i="22"/>
  <c r="V101" i="22"/>
  <c r="W101" i="22"/>
  <c r="V102" i="22"/>
  <c r="W102" i="22"/>
  <c r="V103" i="22"/>
  <c r="W103" i="22"/>
  <c r="V105" i="22"/>
  <c r="W105" i="22"/>
  <c r="V106" i="22"/>
  <c r="W106" i="22"/>
  <c r="V109" i="22"/>
  <c r="W109" i="22"/>
  <c r="V110" i="22"/>
  <c r="W110" i="22"/>
  <c r="V111" i="22"/>
  <c r="W111" i="22"/>
  <c r="V112" i="22"/>
  <c r="W112" i="22"/>
  <c r="V114" i="22"/>
  <c r="W114" i="22"/>
  <c r="V115" i="22"/>
  <c r="W115" i="22"/>
  <c r="C120" i="22"/>
  <c r="D119" i="22"/>
  <c r="C119" i="22"/>
  <c r="C118" i="22"/>
  <c r="D118" i="22"/>
  <c r="U61" i="1"/>
  <c r="U37" i="1"/>
  <c r="U27" i="1"/>
  <c r="T37" i="1"/>
  <c r="T27" i="1"/>
  <c r="C14" i="22"/>
  <c r="C362" i="1"/>
  <c r="D362" i="1"/>
  <c r="AA362" i="1"/>
  <c r="AB362" i="1"/>
  <c r="AC362" i="1"/>
  <c r="C427" i="1"/>
  <c r="D427" i="1"/>
  <c r="AA427" i="1"/>
  <c r="AB427" i="1"/>
  <c r="AC427" i="1"/>
  <c r="C401" i="1"/>
  <c r="D401" i="1"/>
  <c r="AA401" i="1"/>
  <c r="AB401" i="1"/>
  <c r="AC401" i="1"/>
  <c r="C443" i="1"/>
  <c r="D443" i="1"/>
  <c r="AA443" i="1"/>
  <c r="AB443" i="1"/>
  <c r="AC443" i="1"/>
  <c r="C319" i="1"/>
  <c r="D319" i="1"/>
  <c r="AA319" i="1"/>
  <c r="AB319" i="1"/>
  <c r="AC319" i="1"/>
  <c r="C458" i="1"/>
  <c r="D458" i="1"/>
  <c r="AA458" i="1"/>
  <c r="AB458" i="1"/>
  <c r="AC458" i="1"/>
  <c r="C454" i="1"/>
  <c r="D454" i="1"/>
  <c r="AA454" i="1"/>
  <c r="AB454" i="1"/>
  <c r="AC454" i="1"/>
  <c r="C463" i="1"/>
  <c r="D463" i="1"/>
  <c r="AA463" i="1"/>
  <c r="AB463" i="1"/>
  <c r="AC463" i="1"/>
  <c r="C306" i="1"/>
  <c r="D306" i="1"/>
  <c r="AA306" i="1"/>
  <c r="AB306" i="1"/>
  <c r="AC306" i="1"/>
  <c r="D42" i="22"/>
  <c r="C42" i="22"/>
  <c r="D34" i="22"/>
  <c r="C34" i="22"/>
  <c r="D426" i="1"/>
  <c r="C426" i="1"/>
  <c r="D98" i="22"/>
  <c r="C98" i="22"/>
  <c r="C138" i="1"/>
  <c r="D138" i="1"/>
  <c r="T138" i="1"/>
  <c r="U138" i="1"/>
  <c r="AA138" i="1"/>
  <c r="AB138" i="1"/>
  <c r="AC138" i="1"/>
  <c r="D56" i="22"/>
  <c r="C56" i="22"/>
  <c r="D79" i="22"/>
  <c r="C79" i="22"/>
  <c r="C85" i="22"/>
  <c r="D81" i="22"/>
  <c r="C81" i="22"/>
  <c r="D72" i="22"/>
  <c r="C72" i="22"/>
  <c r="D102" i="22"/>
  <c r="C102" i="22"/>
  <c r="D80" i="22"/>
  <c r="C80" i="22"/>
  <c r="D101" i="22"/>
  <c r="C101" i="22"/>
  <c r="C110" i="22"/>
  <c r="C112" i="22"/>
  <c r="D96" i="22"/>
  <c r="C96" i="22"/>
  <c r="D363" i="1"/>
  <c r="C363" i="1"/>
  <c r="D48" i="22"/>
  <c r="C48" i="22"/>
  <c r="D109" i="22"/>
  <c r="C109" i="22"/>
  <c r="D82" i="22"/>
  <c r="C82" i="22"/>
  <c r="D37" i="22"/>
  <c r="C37" i="22"/>
  <c r="C171" i="1"/>
  <c r="D171" i="1"/>
  <c r="AA171" i="1"/>
  <c r="AB171" i="1"/>
  <c r="AC171" i="1"/>
  <c r="D95" i="22"/>
  <c r="C95" i="22"/>
  <c r="L6" i="25" l="1"/>
  <c r="M6" i="25"/>
  <c r="N6" i="25"/>
  <c r="K6" i="25"/>
  <c r="K7" i="25"/>
  <c r="L7" i="25"/>
  <c r="M7" i="25"/>
  <c r="N7" i="25"/>
  <c r="K8" i="25"/>
  <c r="L8" i="25"/>
  <c r="M8" i="25"/>
  <c r="N8" i="25"/>
  <c r="K9" i="25"/>
  <c r="L9" i="25"/>
  <c r="M9" i="25"/>
  <c r="N9" i="25"/>
  <c r="K10" i="25"/>
  <c r="L10" i="25"/>
  <c r="M10" i="25"/>
  <c r="N10" i="25"/>
  <c r="K11" i="25"/>
  <c r="L11" i="25"/>
  <c r="M11" i="25"/>
  <c r="N11" i="25"/>
  <c r="K12" i="25"/>
  <c r="L12" i="25"/>
  <c r="M12" i="25"/>
  <c r="N12" i="25"/>
  <c r="K13" i="25"/>
  <c r="L13" i="25"/>
  <c r="M13" i="25"/>
  <c r="N13" i="25"/>
  <c r="K14" i="25"/>
  <c r="L14" i="25"/>
  <c r="M14" i="25"/>
  <c r="N14" i="25"/>
  <c r="K15" i="25"/>
  <c r="L15" i="25"/>
  <c r="M15" i="25"/>
  <c r="N15" i="25"/>
  <c r="K16" i="25"/>
  <c r="L16" i="25"/>
  <c r="M16" i="25"/>
  <c r="N16" i="25"/>
  <c r="K17" i="25"/>
  <c r="L17" i="25"/>
  <c r="M17" i="25"/>
  <c r="N17" i="25"/>
  <c r="K18" i="25"/>
  <c r="L18" i="25"/>
  <c r="M18" i="25"/>
  <c r="N18" i="25"/>
  <c r="K19" i="25"/>
  <c r="L19" i="25"/>
  <c r="M19" i="25"/>
  <c r="N19" i="25"/>
  <c r="K20" i="25"/>
  <c r="L20" i="25"/>
  <c r="M20" i="25"/>
  <c r="N20" i="25"/>
  <c r="K21" i="25"/>
  <c r="L21" i="25"/>
  <c r="M21" i="25"/>
  <c r="N21" i="25"/>
  <c r="K22" i="25"/>
  <c r="L22" i="25"/>
  <c r="M22" i="25"/>
  <c r="N22" i="25"/>
  <c r="K23" i="25"/>
  <c r="L23" i="25"/>
  <c r="M23" i="25"/>
  <c r="N23" i="25"/>
  <c r="K24" i="25"/>
  <c r="L24" i="25"/>
  <c r="M24" i="25"/>
  <c r="N24" i="25"/>
  <c r="K25" i="25"/>
  <c r="L25" i="25"/>
  <c r="M25" i="25"/>
  <c r="N25" i="25"/>
  <c r="K26" i="25"/>
  <c r="L26" i="25"/>
  <c r="M26" i="25"/>
  <c r="N26" i="25"/>
  <c r="K27" i="25"/>
  <c r="L27" i="25"/>
  <c r="M27" i="25"/>
  <c r="N27" i="25"/>
  <c r="K28" i="25"/>
  <c r="L28" i="25"/>
  <c r="M28" i="25"/>
  <c r="N28" i="25"/>
  <c r="K29" i="25"/>
  <c r="L29" i="25"/>
  <c r="M29" i="25"/>
  <c r="N29" i="25"/>
  <c r="K30" i="25"/>
  <c r="L30" i="25"/>
  <c r="M30" i="25"/>
  <c r="N30" i="25"/>
  <c r="K31" i="25"/>
  <c r="L31" i="25"/>
  <c r="M31" i="25"/>
  <c r="N31" i="25"/>
  <c r="K32" i="25"/>
  <c r="L32" i="25"/>
  <c r="M32" i="25"/>
  <c r="N32" i="25"/>
  <c r="K33" i="25"/>
  <c r="L33" i="25"/>
  <c r="M33" i="25"/>
  <c r="N33" i="25"/>
  <c r="K34" i="25"/>
  <c r="L34" i="25"/>
  <c r="M34" i="25"/>
  <c r="N34" i="25"/>
  <c r="K35" i="25"/>
  <c r="L35" i="25"/>
  <c r="M35" i="25"/>
  <c r="N35" i="25"/>
  <c r="K36" i="25"/>
  <c r="L36" i="25"/>
  <c r="M36" i="25"/>
  <c r="N36" i="25"/>
  <c r="K37" i="25"/>
  <c r="L37" i="25"/>
  <c r="M37" i="25"/>
  <c r="N37" i="25"/>
  <c r="K38" i="25"/>
  <c r="L38" i="25"/>
  <c r="M38" i="25"/>
  <c r="N38" i="25"/>
  <c r="K39" i="25"/>
  <c r="L39" i="25"/>
  <c r="M39" i="25"/>
  <c r="N39" i="25"/>
  <c r="K40" i="25"/>
  <c r="L40" i="25"/>
  <c r="M40" i="25"/>
  <c r="N40" i="25"/>
  <c r="K41" i="25"/>
  <c r="L41" i="25"/>
  <c r="M41" i="25"/>
  <c r="N41" i="25"/>
  <c r="K42" i="25"/>
  <c r="L42" i="25"/>
  <c r="M42" i="25"/>
  <c r="N42" i="25"/>
  <c r="K43" i="25"/>
  <c r="L43" i="25"/>
  <c r="M43" i="25"/>
  <c r="N43" i="25"/>
  <c r="F7" i="25"/>
  <c r="F8" i="25"/>
  <c r="F9" i="25"/>
  <c r="F12" i="25"/>
  <c r="F13" i="25"/>
  <c r="F14" i="25"/>
  <c r="F15" i="25"/>
  <c r="F17" i="25"/>
  <c r="F22" i="25"/>
  <c r="F24" i="25"/>
  <c r="F26" i="25"/>
  <c r="F29" i="25"/>
  <c r="F30" i="25"/>
  <c r="F34" i="25"/>
  <c r="F36" i="25"/>
  <c r="F37" i="25"/>
  <c r="F39" i="25"/>
  <c r="E17" i="25"/>
  <c r="B3" i="25"/>
  <c r="J8" i="25" l="1"/>
  <c r="J7" i="25"/>
  <c r="J11" i="25"/>
  <c r="J13" i="25"/>
  <c r="J23" i="25"/>
  <c r="J10" i="25"/>
  <c r="J41" i="25"/>
  <c r="J29" i="25"/>
  <c r="J25" i="25"/>
  <c r="J21" i="25"/>
  <c r="J9" i="25"/>
  <c r="J15" i="25"/>
  <c r="J12" i="25"/>
  <c r="J34" i="25"/>
  <c r="J14" i="25"/>
  <c r="J37" i="25"/>
  <c r="J33" i="25"/>
  <c r="J30" i="25"/>
  <c r="J19" i="25"/>
  <c r="J26" i="25"/>
  <c r="J22" i="25"/>
  <c r="J39" i="25"/>
  <c r="J35" i="25"/>
  <c r="J31" i="25"/>
  <c r="J27" i="25"/>
  <c r="J43" i="25"/>
  <c r="J42" i="25"/>
  <c r="J40" i="25"/>
  <c r="J38" i="25"/>
  <c r="J36" i="25"/>
  <c r="J32" i="25"/>
  <c r="J28" i="25"/>
  <c r="J24" i="25"/>
  <c r="AA9" i="25"/>
  <c r="Y9" i="25"/>
  <c r="W9" i="25"/>
  <c r="U8" i="25"/>
  <c r="W8" i="25"/>
  <c r="J20" i="25"/>
  <c r="M44" i="25"/>
  <c r="N44" i="25"/>
  <c r="Y8" i="25"/>
  <c r="J6" i="25"/>
  <c r="U9" i="25"/>
  <c r="J18" i="25"/>
  <c r="AA8" i="25"/>
  <c r="K44" i="25"/>
  <c r="L44" i="25"/>
  <c r="E5" i="17"/>
  <c r="E12" i="17"/>
  <c r="E38" i="17"/>
  <c r="E19" i="17"/>
  <c r="E21" i="17"/>
  <c r="E33" i="17"/>
  <c r="E31" i="17"/>
  <c r="E22" i="17"/>
  <c r="E36" i="17"/>
  <c r="E29" i="17"/>
  <c r="E37" i="17"/>
  <c r="E9" i="17"/>
  <c r="E34" i="17"/>
  <c r="E30" i="17"/>
  <c r="E11" i="17"/>
  <c r="E7" i="17"/>
  <c r="E8" i="17"/>
  <c r="E28" i="17"/>
  <c r="E10" i="17"/>
  <c r="E16" i="17"/>
  <c r="E6" i="17"/>
  <c r="E18" i="17"/>
  <c r="E17" i="17"/>
  <c r="E24" i="17"/>
  <c r="E26" i="17"/>
  <c r="E23" i="17"/>
  <c r="E32" i="17"/>
  <c r="E25" i="17"/>
  <c r="E15" i="17"/>
  <c r="E13" i="17"/>
  <c r="E20" i="17"/>
  <c r="E40" i="17"/>
  <c r="E27" i="17"/>
  <c r="E35" i="17"/>
  <c r="E14" i="17"/>
  <c r="T8" i="25" l="1"/>
  <c r="Z8" i="25" s="1"/>
  <c r="T9" i="25"/>
  <c r="V9" i="25" s="1"/>
  <c r="C37" i="1"/>
  <c r="D37" i="1"/>
  <c r="AA37" i="1"/>
  <c r="AB37" i="1"/>
  <c r="AC37" i="1"/>
  <c r="C59" i="1"/>
  <c r="D59" i="1"/>
  <c r="AA59" i="1"/>
  <c r="AB59" i="1"/>
  <c r="AC59" i="1"/>
  <c r="C50" i="1"/>
  <c r="D50" i="1"/>
  <c r="AA50" i="1"/>
  <c r="AB50" i="1"/>
  <c r="AC50" i="1"/>
  <c r="C47" i="1"/>
  <c r="D47" i="1"/>
  <c r="AA47" i="1"/>
  <c r="AB47" i="1"/>
  <c r="AC47" i="1"/>
  <c r="V41" i="17"/>
  <c r="U41" i="17"/>
  <c r="C10" i="22"/>
  <c r="C5" i="22"/>
  <c r="C2" i="22"/>
  <c r="C17" i="1"/>
  <c r="D17" i="1"/>
  <c r="AA17" i="1"/>
  <c r="AB17" i="1"/>
  <c r="AC17" i="1"/>
  <c r="C36" i="1"/>
  <c r="D36" i="1"/>
  <c r="AA36" i="1"/>
  <c r="AB36" i="1"/>
  <c r="AC36" i="1"/>
  <c r="C63" i="1"/>
  <c r="D63" i="1"/>
  <c r="AA63" i="1"/>
  <c r="AB63" i="1"/>
  <c r="AC63" i="1"/>
  <c r="AC12" i="1"/>
  <c r="AB12" i="1"/>
  <c r="AA12" i="1"/>
  <c r="D12" i="1"/>
  <c r="C12" i="1"/>
  <c r="C318" i="1"/>
  <c r="D318" i="1"/>
  <c r="AA318" i="1"/>
  <c r="AB318" i="1"/>
  <c r="AC318" i="1"/>
  <c r="C11" i="1"/>
  <c r="D11" i="1"/>
  <c r="AA11" i="1"/>
  <c r="AB11" i="1"/>
  <c r="AC11" i="1"/>
  <c r="C219" i="1"/>
  <c r="D219" i="1"/>
  <c r="AA219" i="1"/>
  <c r="AB219" i="1"/>
  <c r="AC219" i="1"/>
  <c r="C431" i="1"/>
  <c r="D431" i="1"/>
  <c r="AA431" i="1"/>
  <c r="AB431" i="1"/>
  <c r="AC431" i="1"/>
  <c r="AA10" i="1"/>
  <c r="AA4" i="1"/>
  <c r="AA35" i="1"/>
  <c r="AA6" i="1"/>
  <c r="AA124" i="1"/>
  <c r="AA149" i="1"/>
  <c r="AA9" i="1"/>
  <c r="AA34" i="1"/>
  <c r="AA13" i="1"/>
  <c r="AA14" i="1"/>
  <c r="AA15" i="1"/>
  <c r="AA16" i="1"/>
  <c r="AA211" i="1"/>
  <c r="AA18" i="1"/>
  <c r="AA258" i="1"/>
  <c r="AA296" i="1"/>
  <c r="AA311" i="1"/>
  <c r="AA23" i="1"/>
  <c r="AA24" i="1"/>
  <c r="AA394" i="1"/>
  <c r="AA444" i="1"/>
  <c r="AA83" i="1"/>
  <c r="AA26" i="1"/>
  <c r="AA28" i="1"/>
  <c r="AA33" i="1"/>
  <c r="AA106" i="1"/>
  <c r="AA160" i="1"/>
  <c r="AA192" i="1"/>
  <c r="AA235" i="1"/>
  <c r="AA272" i="1"/>
  <c r="AA256" i="1"/>
  <c r="AA321" i="1"/>
  <c r="AA265" i="1"/>
  <c r="AA38" i="1"/>
  <c r="AA143" i="1"/>
  <c r="AA331" i="1"/>
  <c r="AA355" i="1"/>
  <c r="AA395" i="1"/>
  <c r="AA129" i="1"/>
  <c r="AA49" i="1"/>
  <c r="AA66" i="1"/>
  <c r="AA43" i="1"/>
  <c r="AA45" i="1"/>
  <c r="AA44" i="1"/>
  <c r="AA46" i="1"/>
  <c r="AA48" i="1"/>
  <c r="AA212" i="1"/>
  <c r="AA307" i="1"/>
  <c r="AA53" i="1"/>
  <c r="AA52" i="1"/>
  <c r="AA432" i="1"/>
  <c r="AA5" i="1"/>
  <c r="AA57" i="1"/>
  <c r="AA19" i="1"/>
  <c r="AA39" i="1"/>
  <c r="AA62" i="1"/>
  <c r="AA89" i="1"/>
  <c r="AA67" i="1"/>
  <c r="AA68" i="1"/>
  <c r="AA69" i="1"/>
  <c r="AA107" i="1"/>
  <c r="AA125" i="1"/>
  <c r="AA75" i="1"/>
  <c r="AA136" i="1"/>
  <c r="AA150" i="1"/>
  <c r="AA161" i="1"/>
  <c r="AA172" i="1"/>
  <c r="AA76" i="1"/>
  <c r="AA77" i="1"/>
  <c r="AA179" i="1"/>
  <c r="AA79" i="1"/>
  <c r="AA80" i="1"/>
  <c r="AA82" i="1"/>
  <c r="AA193" i="1"/>
  <c r="AA199" i="1"/>
  <c r="AA85" i="1"/>
  <c r="AA200" i="1"/>
  <c r="AA87" i="1"/>
  <c r="AA406" i="1"/>
  <c r="AA225" i="1"/>
  <c r="AA226" i="1"/>
  <c r="AA90" i="1"/>
  <c r="AA236" i="1"/>
  <c r="AA81" i="1"/>
  <c r="AA237" i="1"/>
  <c r="AA291" i="1"/>
  <c r="AA96" i="1"/>
  <c r="AA88" i="1"/>
  <c r="AA93" i="1"/>
  <c r="AA273" i="1"/>
  <c r="AA97" i="1"/>
  <c r="AA98" i="1"/>
  <c r="AA100" i="1"/>
  <c r="AA99" i="1"/>
  <c r="AA281" i="1"/>
  <c r="AA297" i="1"/>
  <c r="AA298" i="1"/>
  <c r="AA101" i="1"/>
  <c r="AA322" i="1"/>
  <c r="AA323" i="1"/>
  <c r="AA332" i="1"/>
  <c r="AA364" i="1"/>
  <c r="AA365" i="1"/>
  <c r="AA116" i="1"/>
  <c r="AA380" i="1"/>
  <c r="AA115" i="1"/>
  <c r="AA381" i="1"/>
  <c r="AA417" i="1"/>
  <c r="AA418" i="1"/>
  <c r="AA114" i="1"/>
  <c r="AA117" i="1"/>
  <c r="AA108" i="1"/>
  <c r="AA433" i="1"/>
  <c r="AA118" i="1"/>
  <c r="AA445" i="1"/>
  <c r="AA29" i="1"/>
  <c r="AA220" i="1"/>
  <c r="AA128" i="1"/>
  <c r="AA40" i="1"/>
  <c r="AA123" i="1"/>
  <c r="AA126" i="1"/>
  <c r="AA122" i="1"/>
  <c r="AA130" i="1"/>
  <c r="AA60" i="1"/>
  <c r="AA70" i="1"/>
  <c r="AA131" i="1"/>
  <c r="AA121" i="1"/>
  <c r="AA134" i="1"/>
  <c r="AA135" i="1"/>
  <c r="AA91" i="1"/>
  <c r="AA109" i="1"/>
  <c r="AA151" i="1"/>
  <c r="AA180" i="1"/>
  <c r="AA194" i="1"/>
  <c r="AA227" i="1"/>
  <c r="AA144" i="1"/>
  <c r="AA145" i="1"/>
  <c r="AA146" i="1"/>
  <c r="AA148" i="1"/>
  <c r="AA147" i="1"/>
  <c r="AA239" i="1"/>
  <c r="AA284" i="1"/>
  <c r="AA309" i="1"/>
  <c r="AA334" i="1"/>
  <c r="AA368" i="1"/>
  <c r="AA170" i="1"/>
  <c r="AA153" i="1"/>
  <c r="AA156" i="1"/>
  <c r="AA155" i="1"/>
  <c r="AA419" i="1"/>
  <c r="AA442" i="1"/>
  <c r="AA120" i="1"/>
  <c r="AA446" i="1"/>
  <c r="AA71" i="1"/>
  <c r="AA162" i="1"/>
  <c r="AA163" i="1"/>
  <c r="AA293" i="1"/>
  <c r="AA167" i="1"/>
  <c r="AA164" i="1"/>
  <c r="AA92" i="1"/>
  <c r="AA102" i="1"/>
  <c r="AA169" i="1"/>
  <c r="AA168" i="1"/>
  <c r="AA110" i="1"/>
  <c r="AA175" i="1"/>
  <c r="AA127" i="1"/>
  <c r="AA173" i="1"/>
  <c r="AA137" i="1"/>
  <c r="AA178" i="1"/>
  <c r="AA152" i="1"/>
  <c r="AA181" i="1"/>
  <c r="AA203" i="1"/>
  <c r="AA228" i="1"/>
  <c r="AA249" i="1"/>
  <c r="AA274" i="1"/>
  <c r="AA185" i="1"/>
  <c r="AA299" i="1"/>
  <c r="AA187" i="1"/>
  <c r="AA335" i="1"/>
  <c r="AA356" i="1"/>
  <c r="AA384" i="1"/>
  <c r="AA190" i="1"/>
  <c r="AA420" i="1"/>
  <c r="AA196" i="1"/>
  <c r="AA198" i="1"/>
  <c r="AA447" i="1"/>
  <c r="AA27" i="1"/>
  <c r="AA201" i="1"/>
  <c r="AA188" i="1"/>
  <c r="AA202" i="1"/>
  <c r="AA58" i="1"/>
  <c r="AA61" i="1"/>
  <c r="AA205" i="1"/>
  <c r="AA207" i="1"/>
  <c r="AA78" i="1"/>
  <c r="AA208" i="1"/>
  <c r="AA209" i="1"/>
  <c r="AA119" i="1"/>
  <c r="AA157" i="1"/>
  <c r="AA215" i="1"/>
  <c r="AA214" i="1"/>
  <c r="AA428" i="1"/>
  <c r="AA213" i="1"/>
  <c r="AA216" i="1"/>
  <c r="AA217" i="1"/>
  <c r="AA218" i="1"/>
  <c r="AA221" i="1"/>
  <c r="AA222" i="1"/>
  <c r="AA206" i="1"/>
  <c r="AA245" i="1"/>
  <c r="AA267" i="1"/>
  <c r="AA289" i="1"/>
  <c r="AA324" i="1"/>
  <c r="AA350" i="1"/>
  <c r="AA388" i="1"/>
  <c r="AA229" i="1"/>
  <c r="AA231" i="1"/>
  <c r="AA232" i="1"/>
  <c r="AA437" i="1"/>
  <c r="AA238" i="1"/>
  <c r="AA30" i="1"/>
  <c r="AA103" i="1"/>
  <c r="AA132" i="1"/>
  <c r="AA233" i="1"/>
  <c r="AA243" i="1"/>
  <c r="AA182" i="1"/>
  <c r="AA224" i="1"/>
  <c r="AA269" i="1"/>
  <c r="AA300" i="1"/>
  <c r="AA247" i="1"/>
  <c r="AA234" i="1"/>
  <c r="AA336" i="1"/>
  <c r="AA255" i="1"/>
  <c r="AA210" i="1"/>
  <c r="AA248" i="1"/>
  <c r="AA397" i="1"/>
  <c r="AA449" i="1"/>
  <c r="AA250" i="1"/>
  <c r="AA253" i="1"/>
  <c r="AA7" i="1"/>
  <c r="AA20" i="1"/>
  <c r="AA259" i="1"/>
  <c r="AA315" i="1"/>
  <c r="AA31" i="1"/>
  <c r="AA41" i="1"/>
  <c r="AA54" i="1"/>
  <c r="AA263" i="1"/>
  <c r="AA257" i="1"/>
  <c r="AA246" i="1"/>
  <c r="AA266" i="1"/>
  <c r="AA268" i="1"/>
  <c r="AA254" i="1"/>
  <c r="AA64" i="1"/>
  <c r="AA72" i="1"/>
  <c r="AA94" i="1"/>
  <c r="AA111" i="1"/>
  <c r="AA139" i="1"/>
  <c r="AA154" i="1"/>
  <c r="AA183" i="1"/>
  <c r="AA271" i="1"/>
  <c r="AA276" i="1"/>
  <c r="AA277" i="1"/>
  <c r="AA278" i="1"/>
  <c r="AA327" i="1"/>
  <c r="AA279" i="1"/>
  <c r="AA240" i="1"/>
  <c r="AA282" i="1"/>
  <c r="AA283" i="1"/>
  <c r="AA280" i="1"/>
  <c r="AA260" i="1"/>
  <c r="AA275" i="1"/>
  <c r="AA288" i="1"/>
  <c r="AA287" i="1"/>
  <c r="AA301" i="1"/>
  <c r="AA312" i="1"/>
  <c r="AA404" i="1"/>
  <c r="AA330" i="1"/>
  <c r="AA448" i="1"/>
  <c r="AA292" i="1"/>
  <c r="AA337" i="1"/>
  <c r="AA371" i="1"/>
  <c r="AA398" i="1"/>
  <c r="AA421" i="1"/>
  <c r="AA450" i="1"/>
  <c r="AA294" i="1"/>
  <c r="AA84" i="1"/>
  <c r="AA133" i="1"/>
  <c r="AA176" i="1"/>
  <c r="AA295" i="1"/>
  <c r="AA304" i="1"/>
  <c r="AA223" i="1"/>
  <c r="AA261" i="1"/>
  <c r="AA308" i="1"/>
  <c r="AA305" i="1"/>
  <c r="AA342" i="1"/>
  <c r="AA403" i="1"/>
  <c r="AA316" i="1"/>
  <c r="AA314" i="1"/>
  <c r="AA310" i="1"/>
  <c r="AA317" i="1"/>
  <c r="AA461" i="1"/>
  <c r="AA320" i="1"/>
  <c r="AA456" i="1"/>
  <c r="AA8" i="1"/>
  <c r="AA21" i="1"/>
  <c r="AA32" i="1"/>
  <c r="AA42" i="1"/>
  <c r="AA328" i="1"/>
  <c r="AA329" i="1"/>
  <c r="AA55" i="1"/>
  <c r="AA65" i="1"/>
  <c r="AA73" i="1"/>
  <c r="AA333" i="1"/>
  <c r="AA95" i="1"/>
  <c r="AA112" i="1"/>
  <c r="AA140" i="1"/>
  <c r="AA165" i="1"/>
  <c r="AA184" i="1"/>
  <c r="AA340" i="1"/>
  <c r="AA204" i="1"/>
  <c r="AA341" i="1"/>
  <c r="AA343" i="1"/>
  <c r="AA344" i="1"/>
  <c r="AA345" i="1"/>
  <c r="AA241" i="1"/>
  <c r="AA347" i="1"/>
  <c r="AA348" i="1"/>
  <c r="AA441" i="1"/>
  <c r="AA262" i="1"/>
  <c r="AA349" i="1"/>
  <c r="AA351" i="1"/>
  <c r="AA352" i="1"/>
  <c r="AA353" i="1"/>
  <c r="AA285" i="1"/>
  <c r="AA302" i="1"/>
  <c r="AA354" i="1"/>
  <c r="AA360" i="1"/>
  <c r="AA357" i="1"/>
  <c r="AA358" i="1"/>
  <c r="AA313" i="1"/>
  <c r="AA361" i="1"/>
  <c r="AA158" i="1"/>
  <c r="AA366" i="1"/>
  <c r="AA338" i="1"/>
  <c r="AA372" i="1"/>
  <c r="AA399" i="1"/>
  <c r="AA367" i="1"/>
  <c r="AA382" i="1"/>
  <c r="AA422" i="1"/>
  <c r="AA369" i="1"/>
  <c r="AA451" i="1"/>
  <c r="AA22" i="1"/>
  <c r="AA370" i="1"/>
  <c r="AA374" i="1"/>
  <c r="AA375" i="1"/>
  <c r="AA376" i="1"/>
  <c r="AA377" i="1"/>
  <c r="AA378" i="1"/>
  <c r="AA379" i="1"/>
  <c r="AA51" i="1"/>
  <c r="AA56" i="1"/>
  <c r="AA104" i="1"/>
  <c r="AA383" i="1"/>
  <c r="AA141" i="1"/>
  <c r="AA174" i="1"/>
  <c r="AA195" i="1"/>
  <c r="AA389" i="1"/>
  <c r="AA390" i="1"/>
  <c r="AA391" i="1"/>
  <c r="AA392" i="1"/>
  <c r="AA242" i="1"/>
  <c r="AA270" i="1"/>
  <c r="AA290" i="1"/>
  <c r="AA303" i="1"/>
  <c r="AA400" i="1"/>
  <c r="AA339" i="1"/>
  <c r="AA393" i="1"/>
  <c r="AA402" i="1"/>
  <c r="AA373" i="1"/>
  <c r="AA405" i="1"/>
  <c r="AA407" i="1"/>
  <c r="AA408" i="1"/>
  <c r="AA409" i="1"/>
  <c r="AA411" i="1"/>
  <c r="AA413" i="1"/>
  <c r="AA436" i="1"/>
  <c r="AA74" i="1"/>
  <c r="AA86" i="1"/>
  <c r="AA105" i="1"/>
  <c r="AA142" i="1"/>
  <c r="AA166" i="1"/>
  <c r="AA186" i="1"/>
  <c r="AA414" i="1"/>
  <c r="AA423" i="1"/>
  <c r="AA425" i="1"/>
  <c r="AA435" i="1"/>
  <c r="AA410" i="1"/>
  <c r="AA396" i="1"/>
  <c r="AA438" i="1"/>
  <c r="AA430" i="1"/>
  <c r="AA230" i="1"/>
  <c r="AA251" i="1"/>
  <c r="AA434" i="1"/>
  <c r="AA415" i="1"/>
  <c r="AA416" i="1"/>
  <c r="AA286" i="1"/>
  <c r="AA325" i="1"/>
  <c r="AA439" i="1"/>
  <c r="AA440" i="1"/>
  <c r="AA346" i="1"/>
  <c r="AA359" i="1"/>
  <c r="AA385" i="1"/>
  <c r="AA424" i="1"/>
  <c r="AA452" i="1"/>
  <c r="AA25" i="1"/>
  <c r="AA113" i="1"/>
  <c r="AA252" i="1"/>
  <c r="AA455" i="1"/>
  <c r="AA386" i="1"/>
  <c r="AA459" i="1"/>
  <c r="AA462" i="1"/>
  <c r="AA460" i="1"/>
  <c r="AA429" i="1"/>
  <c r="AC10" i="1"/>
  <c r="AC4" i="1"/>
  <c r="AC35" i="1"/>
  <c r="AC6" i="1"/>
  <c r="AC124" i="1"/>
  <c r="AC149" i="1"/>
  <c r="AC9" i="1"/>
  <c r="AC34" i="1"/>
  <c r="AC13" i="1"/>
  <c r="AC14" i="1"/>
  <c r="AC15" i="1"/>
  <c r="AC16" i="1"/>
  <c r="AC211" i="1"/>
  <c r="AC18" i="1"/>
  <c r="AC258" i="1"/>
  <c r="AC296" i="1"/>
  <c r="AC311" i="1"/>
  <c r="AC23" i="1"/>
  <c r="AC24" i="1"/>
  <c r="AC394" i="1"/>
  <c r="AC444" i="1"/>
  <c r="AC83" i="1"/>
  <c r="AC26" i="1"/>
  <c r="AC28" i="1"/>
  <c r="AC33" i="1"/>
  <c r="AC106" i="1"/>
  <c r="AC160" i="1"/>
  <c r="AC192" i="1"/>
  <c r="AC235" i="1"/>
  <c r="AC272" i="1"/>
  <c r="AC256" i="1"/>
  <c r="AC321" i="1"/>
  <c r="AC265" i="1"/>
  <c r="AC38" i="1"/>
  <c r="AC143" i="1"/>
  <c r="AC331" i="1"/>
  <c r="AC355" i="1"/>
  <c r="AC395" i="1"/>
  <c r="AC129" i="1"/>
  <c r="AC49" i="1"/>
  <c r="AC66" i="1"/>
  <c r="AC43" i="1"/>
  <c r="AC45" i="1"/>
  <c r="AC44" i="1"/>
  <c r="AC46" i="1"/>
  <c r="AC48" i="1"/>
  <c r="AC212" i="1"/>
  <c r="AC307" i="1"/>
  <c r="AC53" i="1"/>
  <c r="AC52" i="1"/>
  <c r="AC432" i="1"/>
  <c r="AC5" i="1"/>
  <c r="AC57" i="1"/>
  <c r="AC19" i="1"/>
  <c r="AC39" i="1"/>
  <c r="AC62" i="1"/>
  <c r="AC89" i="1"/>
  <c r="AC67" i="1"/>
  <c r="AC68" i="1"/>
  <c r="AC69" i="1"/>
  <c r="AC107" i="1"/>
  <c r="AC125" i="1"/>
  <c r="AC75" i="1"/>
  <c r="AC136" i="1"/>
  <c r="AC150" i="1"/>
  <c r="AC161" i="1"/>
  <c r="AC172" i="1"/>
  <c r="AC76" i="1"/>
  <c r="AC77" i="1"/>
  <c r="AC179" i="1"/>
  <c r="AC79" i="1"/>
  <c r="AC80" i="1"/>
  <c r="AC82" i="1"/>
  <c r="AC193" i="1"/>
  <c r="AC199" i="1"/>
  <c r="AC85" i="1"/>
  <c r="AC200" i="1"/>
  <c r="AC87" i="1"/>
  <c r="AC406" i="1"/>
  <c r="AC225" i="1"/>
  <c r="AC226" i="1"/>
  <c r="AC90" i="1"/>
  <c r="AC236" i="1"/>
  <c r="AC81" i="1"/>
  <c r="AC237" i="1"/>
  <c r="AC291" i="1"/>
  <c r="AC96" i="1"/>
  <c r="AC88" i="1"/>
  <c r="AC93" i="1"/>
  <c r="AC273" i="1"/>
  <c r="AC97" i="1"/>
  <c r="AC98" i="1"/>
  <c r="AC100" i="1"/>
  <c r="AC99" i="1"/>
  <c r="AC281" i="1"/>
  <c r="AC297" i="1"/>
  <c r="AC298" i="1"/>
  <c r="AC101" i="1"/>
  <c r="AC322" i="1"/>
  <c r="AC323" i="1"/>
  <c r="AC332" i="1"/>
  <c r="AC364" i="1"/>
  <c r="AC365" i="1"/>
  <c r="AC116" i="1"/>
  <c r="AC380" i="1"/>
  <c r="AC115" i="1"/>
  <c r="AC381" i="1"/>
  <c r="AC417" i="1"/>
  <c r="AC418" i="1"/>
  <c r="AC114" i="1"/>
  <c r="AC117" i="1"/>
  <c r="AC108" i="1"/>
  <c r="AC433" i="1"/>
  <c r="AC118" i="1"/>
  <c r="AC445" i="1"/>
  <c r="AC29" i="1"/>
  <c r="AC220" i="1"/>
  <c r="AC128" i="1"/>
  <c r="AC40" i="1"/>
  <c r="AC123" i="1"/>
  <c r="AC126" i="1"/>
  <c r="AC122" i="1"/>
  <c r="AC130" i="1"/>
  <c r="AC60" i="1"/>
  <c r="AC70" i="1"/>
  <c r="AC131" i="1"/>
  <c r="AC121" i="1"/>
  <c r="AC134" i="1"/>
  <c r="AC135" i="1"/>
  <c r="AC91" i="1"/>
  <c r="AC109" i="1"/>
  <c r="AC151" i="1"/>
  <c r="AC180" i="1"/>
  <c r="AC194" i="1"/>
  <c r="AC227" i="1"/>
  <c r="AC144" i="1"/>
  <c r="AC145" i="1"/>
  <c r="AC146" i="1"/>
  <c r="AC148" i="1"/>
  <c r="AC147" i="1"/>
  <c r="AC239" i="1"/>
  <c r="AC284" i="1"/>
  <c r="AC309" i="1"/>
  <c r="AC334" i="1"/>
  <c r="AC368" i="1"/>
  <c r="AC170" i="1"/>
  <c r="F11" i="25" s="1"/>
  <c r="AC153" i="1"/>
  <c r="AC156" i="1"/>
  <c r="AC155" i="1"/>
  <c r="AC419" i="1"/>
  <c r="AC442" i="1"/>
  <c r="AC120" i="1"/>
  <c r="AC446" i="1"/>
  <c r="AC71" i="1"/>
  <c r="AC162" i="1"/>
  <c r="AC163" i="1"/>
  <c r="AC293" i="1"/>
  <c r="AC167" i="1"/>
  <c r="AC164" i="1"/>
  <c r="AC92" i="1"/>
  <c r="AC102" i="1"/>
  <c r="AC169" i="1"/>
  <c r="AC168" i="1"/>
  <c r="AC110" i="1"/>
  <c r="AC175" i="1"/>
  <c r="AC127" i="1"/>
  <c r="AC173" i="1"/>
  <c r="AC137" i="1"/>
  <c r="AC178" i="1"/>
  <c r="AC152" i="1"/>
  <c r="AC181" i="1"/>
  <c r="AC203" i="1"/>
  <c r="AC228" i="1"/>
  <c r="AC249" i="1"/>
  <c r="AC274" i="1"/>
  <c r="AC185" i="1"/>
  <c r="AC299" i="1"/>
  <c r="AC187" i="1"/>
  <c r="AC335" i="1"/>
  <c r="AC356" i="1"/>
  <c r="AC384" i="1"/>
  <c r="AC190" i="1"/>
  <c r="AC420" i="1"/>
  <c r="AC196" i="1"/>
  <c r="AC198" i="1"/>
  <c r="AC447" i="1"/>
  <c r="AC27" i="1"/>
  <c r="AC201" i="1"/>
  <c r="AC188" i="1"/>
  <c r="AC202" i="1"/>
  <c r="AC58" i="1"/>
  <c r="AC61" i="1"/>
  <c r="AC205" i="1"/>
  <c r="AC207" i="1"/>
  <c r="AC78" i="1"/>
  <c r="AC208" i="1"/>
  <c r="AC209" i="1"/>
  <c r="AC119" i="1"/>
  <c r="AC157" i="1"/>
  <c r="AC215" i="1"/>
  <c r="AC214" i="1"/>
  <c r="AC428" i="1"/>
  <c r="AC213" i="1"/>
  <c r="AC216" i="1"/>
  <c r="AC217" i="1"/>
  <c r="AC218" i="1"/>
  <c r="AC221" i="1"/>
  <c r="AC222" i="1"/>
  <c r="AC206" i="1"/>
  <c r="AC245" i="1"/>
  <c r="AC267" i="1"/>
  <c r="AC289" i="1"/>
  <c r="AC324" i="1"/>
  <c r="AC350" i="1"/>
  <c r="AC388" i="1"/>
  <c r="AC229" i="1"/>
  <c r="AC231" i="1"/>
  <c r="AC232" i="1"/>
  <c r="AC437" i="1"/>
  <c r="AC238" i="1"/>
  <c r="AC30" i="1"/>
  <c r="AC103" i="1"/>
  <c r="AC132" i="1"/>
  <c r="AC233" i="1"/>
  <c r="AC243" i="1"/>
  <c r="AC182" i="1"/>
  <c r="AC224" i="1"/>
  <c r="AC269" i="1"/>
  <c r="AC300" i="1"/>
  <c r="AC247" i="1"/>
  <c r="AC234" i="1"/>
  <c r="AC336" i="1"/>
  <c r="AC255" i="1"/>
  <c r="AC210" i="1"/>
  <c r="AC248" i="1"/>
  <c r="AC397" i="1"/>
  <c r="AC449" i="1"/>
  <c r="AC250" i="1"/>
  <c r="AC253" i="1"/>
  <c r="AC7" i="1"/>
  <c r="AC20" i="1"/>
  <c r="AC259" i="1"/>
  <c r="AC315" i="1"/>
  <c r="AC31" i="1"/>
  <c r="AC41" i="1"/>
  <c r="AC54" i="1"/>
  <c r="AC263" i="1"/>
  <c r="AC257" i="1"/>
  <c r="AC246" i="1"/>
  <c r="AC266" i="1"/>
  <c r="AC268" i="1"/>
  <c r="AC254" i="1"/>
  <c r="AC64" i="1"/>
  <c r="AC72" i="1"/>
  <c r="AC94" i="1"/>
  <c r="AC111" i="1"/>
  <c r="AC139" i="1"/>
  <c r="AC154" i="1"/>
  <c r="AC183" i="1"/>
  <c r="AC271" i="1"/>
  <c r="AC276" i="1"/>
  <c r="AC277" i="1"/>
  <c r="AC278" i="1"/>
  <c r="AC327" i="1"/>
  <c r="AC279" i="1"/>
  <c r="AC240" i="1"/>
  <c r="AC282" i="1"/>
  <c r="AC283" i="1"/>
  <c r="AC280" i="1"/>
  <c r="AC260" i="1"/>
  <c r="AC275" i="1"/>
  <c r="AC288" i="1"/>
  <c r="AC287" i="1"/>
  <c r="AC301" i="1"/>
  <c r="AC312" i="1"/>
  <c r="AC404" i="1"/>
  <c r="AC330" i="1"/>
  <c r="AC448" i="1"/>
  <c r="AC292" i="1"/>
  <c r="AC337" i="1"/>
  <c r="AC371" i="1"/>
  <c r="AC398" i="1"/>
  <c r="AC421" i="1"/>
  <c r="AC450" i="1"/>
  <c r="AC294" i="1"/>
  <c r="AC84" i="1"/>
  <c r="AC133" i="1"/>
  <c r="AC176" i="1"/>
  <c r="AC295" i="1"/>
  <c r="AC304" i="1"/>
  <c r="AC223" i="1"/>
  <c r="AC261" i="1"/>
  <c r="AC308" i="1"/>
  <c r="AC305" i="1"/>
  <c r="AC342" i="1"/>
  <c r="AC403" i="1"/>
  <c r="AC316" i="1"/>
  <c r="AC314" i="1"/>
  <c r="AC310" i="1"/>
  <c r="AC317" i="1"/>
  <c r="AC461" i="1"/>
  <c r="AC320" i="1"/>
  <c r="AC456" i="1"/>
  <c r="AC8" i="1"/>
  <c r="AC21" i="1"/>
  <c r="AC32" i="1"/>
  <c r="AC42" i="1"/>
  <c r="AC328" i="1"/>
  <c r="AC329" i="1"/>
  <c r="AC55" i="1"/>
  <c r="AC65" i="1"/>
  <c r="AC73" i="1"/>
  <c r="AC333" i="1"/>
  <c r="AC95" i="1"/>
  <c r="AC112" i="1"/>
  <c r="AC140" i="1"/>
  <c r="AC165" i="1"/>
  <c r="AC184" i="1"/>
  <c r="AC340" i="1"/>
  <c r="AC204" i="1"/>
  <c r="AC341" i="1"/>
  <c r="AC343" i="1"/>
  <c r="AC344" i="1"/>
  <c r="AC345" i="1"/>
  <c r="AC241" i="1"/>
  <c r="AC347" i="1"/>
  <c r="AC348" i="1"/>
  <c r="AC441" i="1"/>
  <c r="AC262" i="1"/>
  <c r="AC349" i="1"/>
  <c r="AC351" i="1"/>
  <c r="E29" i="25" s="1"/>
  <c r="AC352" i="1"/>
  <c r="AC353" i="1"/>
  <c r="AC285" i="1"/>
  <c r="AC302" i="1"/>
  <c r="AC354" i="1"/>
  <c r="AC360" i="1"/>
  <c r="AC357" i="1"/>
  <c r="AC358" i="1"/>
  <c r="AC313" i="1"/>
  <c r="AC361" i="1"/>
  <c r="AC158" i="1"/>
  <c r="AC366" i="1"/>
  <c r="AC338" i="1"/>
  <c r="AC372" i="1"/>
  <c r="AC399" i="1"/>
  <c r="AC367" i="1"/>
  <c r="AC382" i="1"/>
  <c r="AC422" i="1"/>
  <c r="AC369" i="1"/>
  <c r="AC451" i="1"/>
  <c r="AC22" i="1"/>
  <c r="AC370" i="1"/>
  <c r="AC374" i="1"/>
  <c r="AC375" i="1"/>
  <c r="AC376" i="1"/>
  <c r="AC377" i="1"/>
  <c r="AC378" i="1"/>
  <c r="AC379" i="1"/>
  <c r="AC51" i="1"/>
  <c r="AC56" i="1"/>
  <c r="AC104" i="1"/>
  <c r="AC383" i="1"/>
  <c r="AC141" i="1"/>
  <c r="AC174" i="1"/>
  <c r="AC195" i="1"/>
  <c r="AC389" i="1"/>
  <c r="AC390" i="1"/>
  <c r="AC391" i="1"/>
  <c r="AC392" i="1"/>
  <c r="AC242" i="1"/>
  <c r="AC270" i="1"/>
  <c r="AC290" i="1"/>
  <c r="AC303" i="1"/>
  <c r="AC400" i="1"/>
  <c r="AC339" i="1"/>
  <c r="AC393" i="1"/>
  <c r="AC402" i="1"/>
  <c r="AC373" i="1"/>
  <c r="AC405" i="1"/>
  <c r="AC407" i="1"/>
  <c r="AC408" i="1"/>
  <c r="AC409" i="1"/>
  <c r="AC411" i="1"/>
  <c r="AC413" i="1"/>
  <c r="AC436" i="1"/>
  <c r="AC74" i="1"/>
  <c r="AC86" i="1"/>
  <c r="AC105" i="1"/>
  <c r="AC142" i="1"/>
  <c r="AC166" i="1"/>
  <c r="AC186" i="1"/>
  <c r="AC414" i="1"/>
  <c r="AC423" i="1"/>
  <c r="AC425" i="1"/>
  <c r="AC435" i="1"/>
  <c r="AC410" i="1"/>
  <c r="AC396" i="1"/>
  <c r="AC438" i="1"/>
  <c r="AC430" i="1"/>
  <c r="AC230" i="1"/>
  <c r="AC251" i="1"/>
  <c r="AC434" i="1"/>
  <c r="AC415" i="1"/>
  <c r="AC416" i="1"/>
  <c r="AC286" i="1"/>
  <c r="AC325" i="1"/>
  <c r="AC439" i="1"/>
  <c r="AC440" i="1"/>
  <c r="AC346" i="1"/>
  <c r="AC359" i="1"/>
  <c r="AC385" i="1"/>
  <c r="AC424" i="1"/>
  <c r="AC452" i="1"/>
  <c r="AC25" i="1"/>
  <c r="AC113" i="1"/>
  <c r="AC252" i="1"/>
  <c r="AC455" i="1"/>
  <c r="AC386" i="1"/>
  <c r="AC459" i="1"/>
  <c r="AC462" i="1"/>
  <c r="AC460" i="1"/>
  <c r="AC429" i="1"/>
  <c r="AB4" i="1"/>
  <c r="AB35" i="1"/>
  <c r="AB6" i="1"/>
  <c r="AB124" i="1"/>
  <c r="AB149" i="1"/>
  <c r="AB9" i="1"/>
  <c r="AB34" i="1"/>
  <c r="AB13" i="1"/>
  <c r="AB14" i="1"/>
  <c r="AB15" i="1"/>
  <c r="AB16" i="1"/>
  <c r="AB211" i="1"/>
  <c r="AB18" i="1"/>
  <c r="AB258" i="1"/>
  <c r="AB296" i="1"/>
  <c r="AB311" i="1"/>
  <c r="AB23" i="1"/>
  <c r="AB24" i="1"/>
  <c r="AB394" i="1"/>
  <c r="AB444" i="1"/>
  <c r="AB83" i="1"/>
  <c r="AB26" i="1"/>
  <c r="AB28" i="1"/>
  <c r="AB33" i="1"/>
  <c r="AB106" i="1"/>
  <c r="AB160" i="1"/>
  <c r="AB192" i="1"/>
  <c r="AB235" i="1"/>
  <c r="AB272" i="1"/>
  <c r="AB256" i="1"/>
  <c r="AB321" i="1"/>
  <c r="AB265" i="1"/>
  <c r="AB38" i="1"/>
  <c r="AB143" i="1"/>
  <c r="AB331" i="1"/>
  <c r="AB355" i="1"/>
  <c r="AB395" i="1"/>
  <c r="AB129" i="1"/>
  <c r="AB49" i="1"/>
  <c r="AB66" i="1"/>
  <c r="AB43" i="1"/>
  <c r="AB45" i="1"/>
  <c r="AB44" i="1"/>
  <c r="AB46" i="1"/>
  <c r="AB48" i="1"/>
  <c r="AB212" i="1"/>
  <c r="AB307" i="1"/>
  <c r="AB53" i="1"/>
  <c r="AB52" i="1"/>
  <c r="AB432" i="1"/>
  <c r="AB5" i="1"/>
  <c r="AB57" i="1"/>
  <c r="AB19" i="1"/>
  <c r="AB39" i="1"/>
  <c r="AB62" i="1"/>
  <c r="AB89" i="1"/>
  <c r="AB67" i="1"/>
  <c r="AB68" i="1"/>
  <c r="AB69" i="1"/>
  <c r="AB107" i="1"/>
  <c r="AB125" i="1"/>
  <c r="AB75" i="1"/>
  <c r="AB136" i="1"/>
  <c r="AB150" i="1"/>
  <c r="AB161" i="1"/>
  <c r="AB172" i="1"/>
  <c r="AB76" i="1"/>
  <c r="AB77" i="1"/>
  <c r="AB179" i="1"/>
  <c r="AB79" i="1"/>
  <c r="AB80" i="1"/>
  <c r="AB82" i="1"/>
  <c r="AB193" i="1"/>
  <c r="AB199" i="1"/>
  <c r="AB85" i="1"/>
  <c r="AB200" i="1"/>
  <c r="AB87" i="1"/>
  <c r="AB406" i="1"/>
  <c r="AB225" i="1"/>
  <c r="AB226" i="1"/>
  <c r="AB90" i="1"/>
  <c r="AB236" i="1"/>
  <c r="AB81" i="1"/>
  <c r="AB237" i="1"/>
  <c r="AB291" i="1"/>
  <c r="AB96" i="1"/>
  <c r="AB88" i="1"/>
  <c r="AB93" i="1"/>
  <c r="AB273" i="1"/>
  <c r="AB97" i="1"/>
  <c r="AB98" i="1"/>
  <c r="AB100" i="1"/>
  <c r="AB99" i="1"/>
  <c r="AB281" i="1"/>
  <c r="AB297" i="1"/>
  <c r="AB298" i="1"/>
  <c r="AB101" i="1"/>
  <c r="AB322" i="1"/>
  <c r="AB323" i="1"/>
  <c r="AB332" i="1"/>
  <c r="AB364" i="1"/>
  <c r="AB365" i="1"/>
  <c r="AB116" i="1"/>
  <c r="AB380" i="1"/>
  <c r="AB115" i="1"/>
  <c r="AB381" i="1"/>
  <c r="AB417" i="1"/>
  <c r="AB418" i="1"/>
  <c r="AB114" i="1"/>
  <c r="AB117" i="1"/>
  <c r="AB108" i="1"/>
  <c r="AB433" i="1"/>
  <c r="AB118" i="1"/>
  <c r="AB445" i="1"/>
  <c r="AB29" i="1"/>
  <c r="AB220" i="1"/>
  <c r="AB128" i="1"/>
  <c r="AB40" i="1"/>
  <c r="AB123" i="1"/>
  <c r="AB126" i="1"/>
  <c r="AB122" i="1"/>
  <c r="AB130" i="1"/>
  <c r="AB60" i="1"/>
  <c r="AB70" i="1"/>
  <c r="AB131" i="1"/>
  <c r="AB121" i="1"/>
  <c r="AB134" i="1"/>
  <c r="AB135" i="1"/>
  <c r="AB91" i="1"/>
  <c r="AB109" i="1"/>
  <c r="AB151" i="1"/>
  <c r="AB180" i="1"/>
  <c r="AB194" i="1"/>
  <c r="AB227" i="1"/>
  <c r="AB144" i="1"/>
  <c r="AB145" i="1"/>
  <c r="AB146" i="1"/>
  <c r="AB148" i="1"/>
  <c r="AB147" i="1"/>
  <c r="AB239" i="1"/>
  <c r="AB284" i="1"/>
  <c r="AB309" i="1"/>
  <c r="AB334" i="1"/>
  <c r="AB368" i="1"/>
  <c r="AB170" i="1"/>
  <c r="AB153" i="1"/>
  <c r="AB156" i="1"/>
  <c r="AB155" i="1"/>
  <c r="AB419" i="1"/>
  <c r="AB442" i="1"/>
  <c r="AB120" i="1"/>
  <c r="AB446" i="1"/>
  <c r="AB71" i="1"/>
  <c r="AB162" i="1"/>
  <c r="AB163" i="1"/>
  <c r="AB293" i="1"/>
  <c r="AB167" i="1"/>
  <c r="AB164" i="1"/>
  <c r="AB92" i="1"/>
  <c r="AB102" i="1"/>
  <c r="AB169" i="1"/>
  <c r="AB168" i="1"/>
  <c r="AB110" i="1"/>
  <c r="AB175" i="1"/>
  <c r="AB127" i="1"/>
  <c r="AB173" i="1"/>
  <c r="AB137" i="1"/>
  <c r="AB178" i="1"/>
  <c r="AB152" i="1"/>
  <c r="AB181" i="1"/>
  <c r="AB203" i="1"/>
  <c r="AB228" i="1"/>
  <c r="AB249" i="1"/>
  <c r="AB274" i="1"/>
  <c r="AB185" i="1"/>
  <c r="AB299" i="1"/>
  <c r="AB187" i="1"/>
  <c r="AB335" i="1"/>
  <c r="AB356" i="1"/>
  <c r="AB384" i="1"/>
  <c r="AB190" i="1"/>
  <c r="AB420" i="1"/>
  <c r="AB196" i="1"/>
  <c r="AB198" i="1"/>
  <c r="AB447" i="1"/>
  <c r="AB27" i="1"/>
  <c r="AB201" i="1"/>
  <c r="AB188" i="1"/>
  <c r="AB202" i="1"/>
  <c r="AB58" i="1"/>
  <c r="AB61" i="1"/>
  <c r="AB205" i="1"/>
  <c r="AB207" i="1"/>
  <c r="AB78" i="1"/>
  <c r="AB208" i="1"/>
  <c r="AB209" i="1"/>
  <c r="AB119" i="1"/>
  <c r="AB157" i="1"/>
  <c r="AB215" i="1"/>
  <c r="AB214" i="1"/>
  <c r="AB428" i="1"/>
  <c r="AB213" i="1"/>
  <c r="AB216" i="1"/>
  <c r="AB217" i="1"/>
  <c r="AB218" i="1"/>
  <c r="AB221" i="1"/>
  <c r="AB222" i="1"/>
  <c r="AB206" i="1"/>
  <c r="AB245" i="1"/>
  <c r="AB267" i="1"/>
  <c r="AB289" i="1"/>
  <c r="AB324" i="1"/>
  <c r="AB350" i="1"/>
  <c r="AB388" i="1"/>
  <c r="AB229" i="1"/>
  <c r="AB231" i="1"/>
  <c r="AB232" i="1"/>
  <c r="AB437" i="1"/>
  <c r="AB238" i="1"/>
  <c r="AB30" i="1"/>
  <c r="AB103" i="1"/>
  <c r="AB132" i="1"/>
  <c r="AB233" i="1"/>
  <c r="AB243" i="1"/>
  <c r="AB182" i="1"/>
  <c r="AB224" i="1"/>
  <c r="AB269" i="1"/>
  <c r="AB300" i="1"/>
  <c r="AB247" i="1"/>
  <c r="AB234" i="1"/>
  <c r="AB336" i="1"/>
  <c r="AB255" i="1"/>
  <c r="AB210" i="1"/>
  <c r="AB248" i="1"/>
  <c r="AB397" i="1"/>
  <c r="AB449" i="1"/>
  <c r="AB250" i="1"/>
  <c r="AB253" i="1"/>
  <c r="AB7" i="1"/>
  <c r="AB20" i="1"/>
  <c r="AB259" i="1"/>
  <c r="AB315" i="1"/>
  <c r="AB31" i="1"/>
  <c r="AB41" i="1"/>
  <c r="AB54" i="1"/>
  <c r="AB263" i="1"/>
  <c r="AB257" i="1"/>
  <c r="AB246" i="1"/>
  <c r="AB266" i="1"/>
  <c r="AB268" i="1"/>
  <c r="AB254" i="1"/>
  <c r="AB64" i="1"/>
  <c r="AB72" i="1"/>
  <c r="AB94" i="1"/>
  <c r="AB111" i="1"/>
  <c r="AB139" i="1"/>
  <c r="AB154" i="1"/>
  <c r="AB183" i="1"/>
  <c r="AB271" i="1"/>
  <c r="AB276" i="1"/>
  <c r="AB277" i="1"/>
  <c r="AB278" i="1"/>
  <c r="AB327" i="1"/>
  <c r="AB279" i="1"/>
  <c r="AB240" i="1"/>
  <c r="AB282" i="1"/>
  <c r="AB283" i="1"/>
  <c r="AB280" i="1"/>
  <c r="AB260" i="1"/>
  <c r="AB275" i="1"/>
  <c r="AB288" i="1"/>
  <c r="AB287" i="1"/>
  <c r="AB301" i="1"/>
  <c r="AB312" i="1"/>
  <c r="AB404" i="1"/>
  <c r="AB330" i="1"/>
  <c r="AB448" i="1"/>
  <c r="AB292" i="1"/>
  <c r="AB337" i="1"/>
  <c r="AB371" i="1"/>
  <c r="AB398" i="1"/>
  <c r="AB421" i="1"/>
  <c r="AB450" i="1"/>
  <c r="AB294" i="1"/>
  <c r="AB84" i="1"/>
  <c r="AB133" i="1"/>
  <c r="AB176" i="1"/>
  <c r="AB295" i="1"/>
  <c r="AB304" i="1"/>
  <c r="AB223" i="1"/>
  <c r="AB261" i="1"/>
  <c r="AB308" i="1"/>
  <c r="AB305" i="1"/>
  <c r="AB342" i="1"/>
  <c r="AB403" i="1"/>
  <c r="AB316" i="1"/>
  <c r="AB314" i="1"/>
  <c r="AB310" i="1"/>
  <c r="AB317" i="1"/>
  <c r="AB461" i="1"/>
  <c r="AB320" i="1"/>
  <c r="AB456" i="1"/>
  <c r="AB8" i="1"/>
  <c r="AB21" i="1"/>
  <c r="AB32" i="1"/>
  <c r="AB42" i="1"/>
  <c r="AB328" i="1"/>
  <c r="AB329" i="1"/>
  <c r="AB55" i="1"/>
  <c r="AB65" i="1"/>
  <c r="AB73" i="1"/>
  <c r="AB333" i="1"/>
  <c r="AB95" i="1"/>
  <c r="AB112" i="1"/>
  <c r="AB140" i="1"/>
  <c r="AB165" i="1"/>
  <c r="AB184" i="1"/>
  <c r="AB340" i="1"/>
  <c r="AB204" i="1"/>
  <c r="AB341" i="1"/>
  <c r="AB343" i="1"/>
  <c r="AB344" i="1"/>
  <c r="AB345" i="1"/>
  <c r="AB241" i="1"/>
  <c r="AB347" i="1"/>
  <c r="AB348" i="1"/>
  <c r="AB441" i="1"/>
  <c r="AB262" i="1"/>
  <c r="AB349" i="1"/>
  <c r="AB351" i="1"/>
  <c r="AB352" i="1"/>
  <c r="AB353" i="1"/>
  <c r="AB285" i="1"/>
  <c r="AB302" i="1"/>
  <c r="AB354" i="1"/>
  <c r="AB360" i="1"/>
  <c r="AB357" i="1"/>
  <c r="AB358" i="1"/>
  <c r="AB313" i="1"/>
  <c r="AB361" i="1"/>
  <c r="AB158" i="1"/>
  <c r="AB366" i="1"/>
  <c r="AB338" i="1"/>
  <c r="AB372" i="1"/>
  <c r="AB399" i="1"/>
  <c r="AB367" i="1"/>
  <c r="AB382" i="1"/>
  <c r="AB422" i="1"/>
  <c r="AB369" i="1"/>
  <c r="AB451" i="1"/>
  <c r="AB22" i="1"/>
  <c r="AB370" i="1"/>
  <c r="AB374" i="1"/>
  <c r="AB375" i="1"/>
  <c r="AB376" i="1"/>
  <c r="AB377" i="1"/>
  <c r="AB378" i="1"/>
  <c r="AB379" i="1"/>
  <c r="AB51" i="1"/>
  <c r="AB56" i="1"/>
  <c r="AB104" i="1"/>
  <c r="AB383" i="1"/>
  <c r="AB141" i="1"/>
  <c r="AB174" i="1"/>
  <c r="AB195" i="1"/>
  <c r="AB389" i="1"/>
  <c r="AB390" i="1"/>
  <c r="AB391" i="1"/>
  <c r="AB392" i="1"/>
  <c r="AB242" i="1"/>
  <c r="AB270" i="1"/>
  <c r="AB290" i="1"/>
  <c r="AB303" i="1"/>
  <c r="AB400" i="1"/>
  <c r="AB339" i="1"/>
  <c r="AB393" i="1"/>
  <c r="AB402" i="1"/>
  <c r="AB373" i="1"/>
  <c r="AB405" i="1"/>
  <c r="AB407" i="1"/>
  <c r="AB408" i="1"/>
  <c r="AB409" i="1"/>
  <c r="AB411" i="1"/>
  <c r="AB413" i="1"/>
  <c r="AB436" i="1"/>
  <c r="AB74" i="1"/>
  <c r="AB86" i="1"/>
  <c r="AB105" i="1"/>
  <c r="AB142" i="1"/>
  <c r="AB166" i="1"/>
  <c r="AB186" i="1"/>
  <c r="AB414" i="1"/>
  <c r="AB423" i="1"/>
  <c r="AB425" i="1"/>
  <c r="AB435" i="1"/>
  <c r="AB410" i="1"/>
  <c r="AB396" i="1"/>
  <c r="AB438" i="1"/>
  <c r="AB430" i="1"/>
  <c r="AB230" i="1"/>
  <c r="AB251" i="1"/>
  <c r="AB434" i="1"/>
  <c r="AB415" i="1"/>
  <c r="AB416" i="1"/>
  <c r="AB286" i="1"/>
  <c r="AB325" i="1"/>
  <c r="AB439" i="1"/>
  <c r="AB440" i="1"/>
  <c r="AB346" i="1"/>
  <c r="AB359" i="1"/>
  <c r="AB385" i="1"/>
  <c r="AB424" i="1"/>
  <c r="AB452" i="1"/>
  <c r="AB25" i="1"/>
  <c r="AB113" i="1"/>
  <c r="AB252" i="1"/>
  <c r="AB455" i="1"/>
  <c r="AB386" i="1"/>
  <c r="AB459" i="1"/>
  <c r="AB462" i="1"/>
  <c r="AB460" i="1"/>
  <c r="AB429" i="1"/>
  <c r="AB10" i="1"/>
  <c r="T13" i="1"/>
  <c r="U13" i="1"/>
  <c r="T14" i="1"/>
  <c r="U14" i="1"/>
  <c r="T15" i="1"/>
  <c r="U15" i="1"/>
  <c r="T16" i="1"/>
  <c r="U16" i="1"/>
  <c r="T211" i="1"/>
  <c r="U211" i="1"/>
  <c r="T18" i="1"/>
  <c r="U18" i="1"/>
  <c r="T258" i="1"/>
  <c r="U258" i="1"/>
  <c r="T296" i="1"/>
  <c r="U296" i="1"/>
  <c r="T311" i="1"/>
  <c r="U311" i="1"/>
  <c r="T23" i="1"/>
  <c r="U23" i="1"/>
  <c r="T24" i="1"/>
  <c r="U24" i="1"/>
  <c r="T394" i="1"/>
  <c r="U394" i="1"/>
  <c r="T444" i="1"/>
  <c r="U444" i="1"/>
  <c r="T83" i="1"/>
  <c r="U83" i="1"/>
  <c r="T26" i="1"/>
  <c r="U26" i="1"/>
  <c r="T28" i="1"/>
  <c r="U28" i="1"/>
  <c r="T33" i="1"/>
  <c r="U33" i="1"/>
  <c r="T106" i="1"/>
  <c r="U106" i="1"/>
  <c r="T160" i="1"/>
  <c r="U160" i="1"/>
  <c r="T192" i="1"/>
  <c r="U192" i="1"/>
  <c r="T235" i="1"/>
  <c r="U235" i="1"/>
  <c r="T272" i="1"/>
  <c r="U272" i="1"/>
  <c r="T256" i="1"/>
  <c r="U256" i="1"/>
  <c r="T321" i="1"/>
  <c r="U321" i="1"/>
  <c r="T265" i="1"/>
  <c r="U265" i="1"/>
  <c r="T38" i="1"/>
  <c r="U38" i="1"/>
  <c r="T143" i="1"/>
  <c r="U143" i="1"/>
  <c r="T331" i="1"/>
  <c r="U331" i="1"/>
  <c r="T355" i="1"/>
  <c r="U355" i="1"/>
  <c r="T395" i="1"/>
  <c r="U395" i="1"/>
  <c r="T129" i="1"/>
  <c r="T49" i="1"/>
  <c r="U49" i="1"/>
  <c r="T66" i="1"/>
  <c r="U66" i="1"/>
  <c r="T43" i="1"/>
  <c r="U43" i="1"/>
  <c r="T45" i="1"/>
  <c r="U45" i="1"/>
  <c r="T44" i="1"/>
  <c r="U44" i="1"/>
  <c r="T46" i="1"/>
  <c r="U46" i="1"/>
  <c r="T48" i="1"/>
  <c r="U48" i="1"/>
  <c r="T212" i="1"/>
  <c r="U212" i="1"/>
  <c r="T307" i="1"/>
  <c r="U307" i="1"/>
  <c r="T53" i="1"/>
  <c r="U53" i="1"/>
  <c r="T52" i="1"/>
  <c r="U52" i="1"/>
  <c r="T432" i="1"/>
  <c r="U432" i="1"/>
  <c r="T5" i="1"/>
  <c r="U5" i="1"/>
  <c r="T57" i="1"/>
  <c r="U57" i="1"/>
  <c r="T19" i="1"/>
  <c r="U19" i="1"/>
  <c r="T39" i="1"/>
  <c r="U39" i="1"/>
  <c r="T62" i="1"/>
  <c r="U62" i="1"/>
  <c r="T89" i="1"/>
  <c r="U89" i="1"/>
  <c r="T67" i="1"/>
  <c r="U67" i="1"/>
  <c r="T68" i="1"/>
  <c r="U68" i="1"/>
  <c r="T69" i="1"/>
  <c r="U69" i="1"/>
  <c r="T107" i="1"/>
  <c r="U107" i="1"/>
  <c r="T125" i="1"/>
  <c r="U125" i="1"/>
  <c r="T75" i="1"/>
  <c r="U75" i="1"/>
  <c r="T136" i="1"/>
  <c r="U136" i="1"/>
  <c r="T150" i="1"/>
  <c r="U150" i="1"/>
  <c r="T161" i="1"/>
  <c r="U161" i="1"/>
  <c r="T172" i="1"/>
  <c r="U172" i="1"/>
  <c r="T76" i="1"/>
  <c r="U76" i="1"/>
  <c r="T77" i="1"/>
  <c r="U77" i="1"/>
  <c r="T179" i="1"/>
  <c r="U179" i="1"/>
  <c r="T79" i="1"/>
  <c r="U79" i="1"/>
  <c r="T80" i="1"/>
  <c r="U80" i="1"/>
  <c r="T82" i="1"/>
  <c r="U82" i="1"/>
  <c r="T193" i="1"/>
  <c r="U193" i="1"/>
  <c r="T199" i="1"/>
  <c r="U199" i="1"/>
  <c r="T85" i="1"/>
  <c r="U85" i="1"/>
  <c r="T200" i="1"/>
  <c r="U200" i="1"/>
  <c r="T87" i="1"/>
  <c r="U87" i="1"/>
  <c r="T406" i="1"/>
  <c r="U406" i="1"/>
  <c r="T225" i="1"/>
  <c r="U225" i="1"/>
  <c r="T226" i="1"/>
  <c r="U226" i="1"/>
  <c r="T90" i="1"/>
  <c r="U90" i="1"/>
  <c r="T236" i="1"/>
  <c r="U236" i="1"/>
  <c r="T81" i="1"/>
  <c r="U81" i="1"/>
  <c r="T237" i="1"/>
  <c r="U237" i="1"/>
  <c r="T291" i="1"/>
  <c r="U291" i="1"/>
  <c r="T96" i="1"/>
  <c r="T88" i="1"/>
  <c r="U88" i="1"/>
  <c r="T93" i="1"/>
  <c r="U93" i="1"/>
  <c r="T273" i="1"/>
  <c r="U273" i="1"/>
  <c r="T97" i="1"/>
  <c r="U97" i="1"/>
  <c r="T98" i="1"/>
  <c r="U98" i="1"/>
  <c r="T100" i="1"/>
  <c r="U100" i="1"/>
  <c r="T99" i="1"/>
  <c r="U99" i="1"/>
  <c r="T281" i="1"/>
  <c r="U281" i="1"/>
  <c r="T297" i="1"/>
  <c r="U297" i="1"/>
  <c r="T298" i="1"/>
  <c r="U298" i="1"/>
  <c r="T101" i="1"/>
  <c r="U101" i="1"/>
  <c r="T322" i="1"/>
  <c r="U322" i="1"/>
  <c r="T323" i="1"/>
  <c r="U323" i="1"/>
  <c r="T332" i="1"/>
  <c r="U332" i="1"/>
  <c r="T364" i="1"/>
  <c r="U364" i="1"/>
  <c r="T365" i="1"/>
  <c r="U365" i="1"/>
  <c r="T116" i="1"/>
  <c r="U116" i="1"/>
  <c r="T380" i="1"/>
  <c r="U380" i="1"/>
  <c r="T115" i="1"/>
  <c r="U115" i="1"/>
  <c r="T381" i="1"/>
  <c r="U381" i="1"/>
  <c r="T417" i="1"/>
  <c r="U417" i="1"/>
  <c r="T418" i="1"/>
  <c r="U418" i="1"/>
  <c r="T114" i="1"/>
  <c r="U114" i="1"/>
  <c r="T117" i="1"/>
  <c r="U117" i="1"/>
  <c r="T108" i="1"/>
  <c r="T433" i="1"/>
  <c r="U433" i="1"/>
  <c r="T118" i="1"/>
  <c r="U118" i="1"/>
  <c r="T445" i="1"/>
  <c r="U445" i="1"/>
  <c r="T29" i="1"/>
  <c r="U29" i="1"/>
  <c r="T220" i="1"/>
  <c r="U220" i="1"/>
  <c r="T128" i="1"/>
  <c r="U128" i="1"/>
  <c r="T40" i="1"/>
  <c r="U40" i="1"/>
  <c r="T123" i="1"/>
  <c r="U123" i="1"/>
  <c r="T126" i="1"/>
  <c r="U126" i="1"/>
  <c r="T122" i="1"/>
  <c r="U122" i="1"/>
  <c r="T130" i="1"/>
  <c r="U130" i="1"/>
  <c r="T60" i="1"/>
  <c r="U60" i="1"/>
  <c r="T70" i="1"/>
  <c r="U70" i="1"/>
  <c r="T131" i="1"/>
  <c r="U131" i="1"/>
  <c r="T121" i="1"/>
  <c r="T134" i="1"/>
  <c r="U134" i="1"/>
  <c r="T135" i="1"/>
  <c r="U135" i="1"/>
  <c r="T91" i="1"/>
  <c r="U91" i="1"/>
  <c r="T109" i="1"/>
  <c r="U109" i="1"/>
  <c r="T151" i="1"/>
  <c r="U151" i="1"/>
  <c r="T180" i="1"/>
  <c r="U180" i="1"/>
  <c r="T194" i="1"/>
  <c r="U194" i="1"/>
  <c r="T227" i="1"/>
  <c r="U227" i="1"/>
  <c r="T144" i="1"/>
  <c r="U144" i="1"/>
  <c r="T145" i="1"/>
  <c r="U145" i="1"/>
  <c r="T146" i="1"/>
  <c r="U146" i="1"/>
  <c r="T148" i="1"/>
  <c r="U148" i="1"/>
  <c r="T147" i="1"/>
  <c r="U147" i="1"/>
  <c r="T239" i="1"/>
  <c r="U239" i="1"/>
  <c r="T284" i="1"/>
  <c r="U284" i="1"/>
  <c r="T309" i="1"/>
  <c r="U309" i="1"/>
  <c r="T334" i="1"/>
  <c r="U334" i="1"/>
  <c r="T368" i="1"/>
  <c r="U368" i="1"/>
  <c r="T170" i="1"/>
  <c r="U170" i="1"/>
  <c r="T153" i="1"/>
  <c r="U153" i="1"/>
  <c r="T156" i="1"/>
  <c r="U156" i="1"/>
  <c r="T155" i="1"/>
  <c r="U155" i="1"/>
  <c r="T419" i="1"/>
  <c r="U419" i="1"/>
  <c r="T442" i="1"/>
  <c r="U442" i="1"/>
  <c r="T120" i="1"/>
  <c r="U120" i="1"/>
  <c r="T446" i="1"/>
  <c r="U446" i="1"/>
  <c r="T71" i="1"/>
  <c r="U71" i="1"/>
  <c r="T162" i="1"/>
  <c r="U162" i="1"/>
  <c r="T163" i="1"/>
  <c r="U163" i="1"/>
  <c r="T293" i="1"/>
  <c r="U293" i="1"/>
  <c r="T167" i="1"/>
  <c r="U167" i="1"/>
  <c r="T164" i="1"/>
  <c r="U164" i="1"/>
  <c r="T92" i="1"/>
  <c r="U92" i="1"/>
  <c r="T102" i="1"/>
  <c r="U102" i="1"/>
  <c r="T169" i="1"/>
  <c r="U169" i="1"/>
  <c r="T168" i="1"/>
  <c r="U168" i="1"/>
  <c r="T110" i="1"/>
  <c r="U110" i="1"/>
  <c r="T175" i="1"/>
  <c r="U175" i="1"/>
  <c r="T127" i="1"/>
  <c r="U127" i="1"/>
  <c r="T173" i="1"/>
  <c r="U173" i="1"/>
  <c r="T137" i="1"/>
  <c r="U137" i="1"/>
  <c r="T178" i="1"/>
  <c r="U178" i="1"/>
  <c r="T152" i="1"/>
  <c r="U152" i="1"/>
  <c r="T181" i="1"/>
  <c r="U181" i="1"/>
  <c r="T203" i="1"/>
  <c r="U203" i="1"/>
  <c r="T228" i="1"/>
  <c r="U228" i="1"/>
  <c r="T249" i="1"/>
  <c r="U249" i="1"/>
  <c r="T274" i="1"/>
  <c r="U274" i="1"/>
  <c r="T185" i="1"/>
  <c r="U185" i="1"/>
  <c r="T299" i="1"/>
  <c r="U299" i="1"/>
  <c r="T187" i="1"/>
  <c r="U187" i="1"/>
  <c r="T335" i="1"/>
  <c r="U335" i="1"/>
  <c r="T356" i="1"/>
  <c r="U356" i="1"/>
  <c r="T384" i="1"/>
  <c r="U384" i="1"/>
  <c r="T190" i="1"/>
  <c r="U190" i="1"/>
  <c r="T420" i="1"/>
  <c r="U420" i="1"/>
  <c r="T196" i="1"/>
  <c r="U196" i="1"/>
  <c r="T198" i="1"/>
  <c r="U198" i="1"/>
  <c r="T447" i="1"/>
  <c r="U447" i="1"/>
  <c r="T201" i="1"/>
  <c r="U201" i="1"/>
  <c r="T188" i="1"/>
  <c r="T202" i="1"/>
  <c r="U202" i="1"/>
  <c r="T58" i="1"/>
  <c r="U58" i="1"/>
  <c r="T61" i="1"/>
  <c r="T205" i="1"/>
  <c r="U205" i="1"/>
  <c r="T207" i="1"/>
  <c r="U207" i="1"/>
  <c r="T78" i="1"/>
  <c r="U78" i="1"/>
  <c r="T208" i="1"/>
  <c r="U208" i="1"/>
  <c r="T209" i="1"/>
  <c r="U209" i="1"/>
  <c r="T119" i="1"/>
  <c r="U119" i="1"/>
  <c r="T157" i="1"/>
  <c r="U157" i="1"/>
  <c r="T215" i="1"/>
  <c r="T214" i="1"/>
  <c r="U214" i="1"/>
  <c r="T428" i="1"/>
  <c r="U428" i="1"/>
  <c r="T213" i="1"/>
  <c r="U213" i="1"/>
  <c r="T216" i="1"/>
  <c r="U216" i="1"/>
  <c r="T217" i="1"/>
  <c r="U217" i="1"/>
  <c r="T218" i="1"/>
  <c r="U218" i="1"/>
  <c r="T221" i="1"/>
  <c r="U221" i="1"/>
  <c r="T222" i="1"/>
  <c r="U222" i="1"/>
  <c r="T206" i="1"/>
  <c r="U206" i="1"/>
  <c r="T245" i="1"/>
  <c r="U245" i="1"/>
  <c r="T267" i="1"/>
  <c r="U267" i="1"/>
  <c r="T289" i="1"/>
  <c r="U289" i="1"/>
  <c r="T324" i="1"/>
  <c r="U324" i="1"/>
  <c r="T350" i="1"/>
  <c r="U350" i="1"/>
  <c r="T388" i="1"/>
  <c r="U388" i="1"/>
  <c r="T229" i="1"/>
  <c r="U229" i="1"/>
  <c r="T231" i="1"/>
  <c r="U231" i="1"/>
  <c r="T232" i="1"/>
  <c r="T437" i="1"/>
  <c r="U437" i="1"/>
  <c r="T238" i="1"/>
  <c r="U238" i="1"/>
  <c r="T30" i="1"/>
  <c r="U30" i="1"/>
  <c r="T103" i="1"/>
  <c r="U103" i="1"/>
  <c r="T132" i="1"/>
  <c r="U132" i="1"/>
  <c r="T233" i="1"/>
  <c r="U233" i="1"/>
  <c r="T243" i="1"/>
  <c r="U243" i="1"/>
  <c r="T182" i="1"/>
  <c r="U182" i="1"/>
  <c r="T224" i="1"/>
  <c r="U224" i="1"/>
  <c r="T269" i="1"/>
  <c r="U269" i="1"/>
  <c r="T300" i="1"/>
  <c r="U300" i="1"/>
  <c r="T247" i="1"/>
  <c r="U247" i="1"/>
  <c r="T234" i="1"/>
  <c r="U234" i="1"/>
  <c r="T336" i="1"/>
  <c r="U336" i="1"/>
  <c r="T255" i="1"/>
  <c r="U255" i="1"/>
  <c r="T210" i="1"/>
  <c r="U210" i="1"/>
  <c r="T248" i="1"/>
  <c r="U248" i="1"/>
  <c r="T397" i="1"/>
  <c r="U397" i="1"/>
  <c r="T449" i="1"/>
  <c r="U449" i="1"/>
  <c r="T250" i="1"/>
  <c r="U250" i="1"/>
  <c r="T253" i="1"/>
  <c r="U253" i="1"/>
  <c r="T7" i="1"/>
  <c r="U7" i="1"/>
  <c r="T20" i="1"/>
  <c r="U20" i="1"/>
  <c r="T259" i="1"/>
  <c r="U259" i="1"/>
  <c r="T315" i="1"/>
  <c r="T31" i="1"/>
  <c r="U31" i="1"/>
  <c r="T41" i="1"/>
  <c r="U41" i="1"/>
  <c r="T54" i="1"/>
  <c r="U54" i="1"/>
  <c r="T263" i="1"/>
  <c r="U263" i="1"/>
  <c r="T257" i="1"/>
  <c r="U257" i="1"/>
  <c r="T246" i="1"/>
  <c r="T266" i="1"/>
  <c r="U266" i="1"/>
  <c r="T268" i="1"/>
  <c r="U268" i="1"/>
  <c r="T254" i="1"/>
  <c r="T64" i="1"/>
  <c r="U64" i="1"/>
  <c r="T72" i="1"/>
  <c r="U72" i="1"/>
  <c r="T94" i="1"/>
  <c r="U94" i="1"/>
  <c r="T111" i="1"/>
  <c r="U111" i="1"/>
  <c r="T139" i="1"/>
  <c r="U139" i="1"/>
  <c r="T154" i="1"/>
  <c r="U154" i="1"/>
  <c r="T183" i="1"/>
  <c r="U183" i="1"/>
  <c r="T271" i="1"/>
  <c r="U271" i="1"/>
  <c r="T276" i="1"/>
  <c r="U276" i="1"/>
  <c r="T277" i="1"/>
  <c r="T278" i="1"/>
  <c r="U278" i="1"/>
  <c r="T327" i="1"/>
  <c r="T279" i="1"/>
  <c r="U279" i="1"/>
  <c r="T240" i="1"/>
  <c r="U240" i="1"/>
  <c r="T282" i="1"/>
  <c r="U282" i="1"/>
  <c r="T283" i="1"/>
  <c r="U283" i="1"/>
  <c r="T280" i="1"/>
  <c r="U280" i="1"/>
  <c r="T260" i="1"/>
  <c r="U260" i="1"/>
  <c r="T275" i="1"/>
  <c r="U275" i="1"/>
  <c r="T288" i="1"/>
  <c r="U288" i="1"/>
  <c r="T287" i="1"/>
  <c r="T301" i="1"/>
  <c r="U301" i="1"/>
  <c r="T312" i="1"/>
  <c r="U312" i="1"/>
  <c r="T404" i="1"/>
  <c r="U404" i="1"/>
  <c r="T330" i="1"/>
  <c r="U330" i="1"/>
  <c r="T448" i="1"/>
  <c r="U448" i="1"/>
  <c r="T292" i="1"/>
  <c r="U292" i="1"/>
  <c r="T337" i="1"/>
  <c r="U337" i="1"/>
  <c r="T371" i="1"/>
  <c r="U371" i="1"/>
  <c r="T398" i="1"/>
  <c r="U398" i="1"/>
  <c r="T421" i="1"/>
  <c r="U421" i="1"/>
  <c r="T450" i="1"/>
  <c r="U450" i="1"/>
  <c r="T294" i="1"/>
  <c r="U294" i="1"/>
  <c r="T84" i="1"/>
  <c r="U84" i="1"/>
  <c r="T133" i="1"/>
  <c r="U133" i="1"/>
  <c r="T176" i="1"/>
  <c r="U176" i="1"/>
  <c r="T295" i="1"/>
  <c r="U295" i="1"/>
  <c r="T304" i="1"/>
  <c r="U304" i="1"/>
  <c r="T223" i="1"/>
  <c r="U223" i="1"/>
  <c r="T261" i="1"/>
  <c r="U261" i="1"/>
  <c r="T308" i="1"/>
  <c r="U308" i="1"/>
  <c r="T305" i="1"/>
  <c r="U305" i="1"/>
  <c r="T342" i="1"/>
  <c r="U342" i="1"/>
  <c r="T403" i="1"/>
  <c r="U403" i="1"/>
  <c r="T316" i="1"/>
  <c r="U316" i="1"/>
  <c r="T314" i="1"/>
  <c r="U314" i="1"/>
  <c r="T310" i="1"/>
  <c r="U310" i="1"/>
  <c r="T317" i="1"/>
  <c r="U317" i="1"/>
  <c r="T461" i="1"/>
  <c r="U461" i="1"/>
  <c r="T320" i="1"/>
  <c r="U320" i="1"/>
  <c r="T456" i="1"/>
  <c r="U456" i="1"/>
  <c r="T8" i="1"/>
  <c r="U8" i="1"/>
  <c r="T21" i="1"/>
  <c r="U21" i="1"/>
  <c r="T32" i="1"/>
  <c r="U32" i="1"/>
  <c r="T42" i="1"/>
  <c r="U42" i="1"/>
  <c r="T328" i="1"/>
  <c r="U328" i="1"/>
  <c r="T329" i="1"/>
  <c r="U329" i="1"/>
  <c r="T55" i="1"/>
  <c r="U55" i="1"/>
  <c r="T65" i="1"/>
  <c r="U65" i="1"/>
  <c r="T73" i="1"/>
  <c r="U73" i="1"/>
  <c r="T333" i="1"/>
  <c r="U333" i="1"/>
  <c r="T95" i="1"/>
  <c r="U95" i="1"/>
  <c r="T112" i="1"/>
  <c r="U112" i="1"/>
  <c r="T140" i="1"/>
  <c r="U140" i="1"/>
  <c r="T165" i="1"/>
  <c r="U165" i="1"/>
  <c r="T184" i="1"/>
  <c r="U184" i="1"/>
  <c r="T340" i="1"/>
  <c r="T204" i="1"/>
  <c r="U204" i="1"/>
  <c r="T341" i="1"/>
  <c r="U341" i="1"/>
  <c r="T343" i="1"/>
  <c r="T344" i="1"/>
  <c r="U344" i="1"/>
  <c r="T345" i="1"/>
  <c r="U345" i="1"/>
  <c r="T241" i="1"/>
  <c r="U241" i="1"/>
  <c r="T347" i="1"/>
  <c r="U347" i="1"/>
  <c r="T348" i="1"/>
  <c r="U348" i="1"/>
  <c r="T441" i="1"/>
  <c r="T262" i="1"/>
  <c r="U262" i="1"/>
  <c r="T349" i="1"/>
  <c r="U349" i="1"/>
  <c r="T351" i="1"/>
  <c r="U351" i="1"/>
  <c r="T352" i="1"/>
  <c r="T353" i="1"/>
  <c r="U353" i="1"/>
  <c r="T285" i="1"/>
  <c r="U285" i="1"/>
  <c r="T302" i="1"/>
  <c r="U302" i="1"/>
  <c r="T354" i="1"/>
  <c r="U354" i="1"/>
  <c r="T360" i="1"/>
  <c r="T357" i="1"/>
  <c r="U357" i="1"/>
  <c r="T358" i="1"/>
  <c r="U358" i="1"/>
  <c r="T313" i="1"/>
  <c r="U313" i="1"/>
  <c r="T361" i="1"/>
  <c r="U361" i="1"/>
  <c r="T158" i="1"/>
  <c r="U158" i="1"/>
  <c r="T366" i="1"/>
  <c r="U366" i="1"/>
  <c r="T338" i="1"/>
  <c r="U338" i="1"/>
  <c r="T372" i="1"/>
  <c r="U372" i="1"/>
  <c r="T399" i="1"/>
  <c r="U399" i="1"/>
  <c r="T367" i="1"/>
  <c r="U367" i="1"/>
  <c r="T382" i="1"/>
  <c r="T422" i="1"/>
  <c r="U422" i="1"/>
  <c r="T369" i="1"/>
  <c r="U369" i="1"/>
  <c r="T451" i="1"/>
  <c r="U451" i="1"/>
  <c r="T22" i="1"/>
  <c r="U22" i="1"/>
  <c r="T370" i="1"/>
  <c r="U370" i="1"/>
  <c r="T374" i="1"/>
  <c r="U374" i="1"/>
  <c r="T375" i="1"/>
  <c r="U375" i="1"/>
  <c r="T376" i="1"/>
  <c r="U376" i="1"/>
  <c r="T377" i="1"/>
  <c r="U377" i="1"/>
  <c r="T378" i="1"/>
  <c r="U378" i="1"/>
  <c r="T379" i="1"/>
  <c r="U379" i="1"/>
  <c r="T51" i="1"/>
  <c r="U51" i="1"/>
  <c r="T56" i="1"/>
  <c r="U56" i="1"/>
  <c r="T104" i="1"/>
  <c r="U104" i="1"/>
  <c r="T383" i="1"/>
  <c r="U383" i="1"/>
  <c r="T141" i="1"/>
  <c r="U141" i="1"/>
  <c r="T174" i="1"/>
  <c r="U174" i="1"/>
  <c r="T195" i="1"/>
  <c r="U195" i="1"/>
  <c r="T389" i="1"/>
  <c r="U389" i="1"/>
  <c r="T390" i="1"/>
  <c r="U390" i="1"/>
  <c r="T391" i="1"/>
  <c r="U391" i="1"/>
  <c r="T392" i="1"/>
  <c r="U392" i="1"/>
  <c r="T242" i="1"/>
  <c r="U242" i="1"/>
  <c r="T270" i="1"/>
  <c r="U270" i="1"/>
  <c r="T290" i="1"/>
  <c r="U290" i="1"/>
  <c r="T303" i="1"/>
  <c r="U303" i="1"/>
  <c r="T400" i="1"/>
  <c r="U400" i="1"/>
  <c r="T339" i="1"/>
  <c r="U339" i="1"/>
  <c r="T393" i="1"/>
  <c r="U393" i="1"/>
  <c r="T402" i="1"/>
  <c r="U402" i="1"/>
  <c r="T373" i="1"/>
  <c r="U373" i="1"/>
  <c r="T405" i="1"/>
  <c r="U405" i="1"/>
  <c r="T407" i="1"/>
  <c r="U407" i="1"/>
  <c r="T408" i="1"/>
  <c r="U408" i="1"/>
  <c r="T409" i="1"/>
  <c r="U409" i="1"/>
  <c r="T411" i="1"/>
  <c r="U411" i="1"/>
  <c r="T413" i="1"/>
  <c r="U413" i="1"/>
  <c r="T436" i="1"/>
  <c r="U436" i="1"/>
  <c r="T74" i="1"/>
  <c r="U74" i="1"/>
  <c r="T86" i="1"/>
  <c r="U86" i="1"/>
  <c r="T105" i="1"/>
  <c r="U105" i="1"/>
  <c r="T142" i="1"/>
  <c r="U142" i="1"/>
  <c r="T166" i="1"/>
  <c r="U166" i="1"/>
  <c r="T186" i="1"/>
  <c r="U186" i="1"/>
  <c r="T414" i="1"/>
  <c r="U414" i="1"/>
  <c r="T423" i="1"/>
  <c r="U423" i="1"/>
  <c r="T425" i="1"/>
  <c r="U425" i="1"/>
  <c r="T435" i="1"/>
  <c r="U435" i="1"/>
  <c r="T410" i="1"/>
  <c r="T396" i="1"/>
  <c r="U396" i="1"/>
  <c r="T438" i="1"/>
  <c r="U438" i="1"/>
  <c r="T430" i="1"/>
  <c r="U430" i="1"/>
  <c r="T230" i="1"/>
  <c r="U230" i="1"/>
  <c r="T251" i="1"/>
  <c r="U251" i="1"/>
  <c r="T434" i="1"/>
  <c r="U434" i="1"/>
  <c r="T415" i="1"/>
  <c r="U415" i="1"/>
  <c r="T416" i="1"/>
  <c r="U416" i="1"/>
  <c r="T286" i="1"/>
  <c r="U286" i="1"/>
  <c r="T325" i="1"/>
  <c r="U325" i="1"/>
  <c r="T439" i="1"/>
  <c r="U439" i="1"/>
  <c r="T440" i="1"/>
  <c r="U440" i="1"/>
  <c r="T346" i="1"/>
  <c r="U346" i="1"/>
  <c r="T359" i="1"/>
  <c r="U359" i="1"/>
  <c r="T385" i="1"/>
  <c r="U385" i="1"/>
  <c r="T424" i="1"/>
  <c r="U424" i="1"/>
  <c r="T452" i="1"/>
  <c r="U452" i="1"/>
  <c r="T25" i="1"/>
  <c r="U25" i="1"/>
  <c r="T113" i="1"/>
  <c r="U113" i="1"/>
  <c r="T252" i="1"/>
  <c r="U252" i="1"/>
  <c r="T455" i="1"/>
  <c r="U455" i="1"/>
  <c r="T386" i="1"/>
  <c r="U386" i="1"/>
  <c r="T459" i="1"/>
  <c r="U459" i="1"/>
  <c r="T462" i="1"/>
  <c r="U462" i="1"/>
  <c r="T460" i="1"/>
  <c r="U460" i="1"/>
  <c r="T429" i="1"/>
  <c r="U429" i="1"/>
  <c r="T4" i="1"/>
  <c r="U4" i="1"/>
  <c r="T35" i="1"/>
  <c r="U35" i="1"/>
  <c r="T6" i="1"/>
  <c r="U6" i="1"/>
  <c r="T124" i="1"/>
  <c r="U124" i="1"/>
  <c r="T149" i="1"/>
  <c r="U149" i="1"/>
  <c r="T9" i="1"/>
  <c r="U9" i="1"/>
  <c r="T34" i="1"/>
  <c r="U34" i="1"/>
  <c r="U10" i="1"/>
  <c r="T10" i="1"/>
  <c r="D10" i="1"/>
  <c r="D4" i="1"/>
  <c r="D35" i="1"/>
  <c r="D6" i="1"/>
  <c r="D124" i="1"/>
  <c r="D149" i="1"/>
  <c r="D9" i="1"/>
  <c r="D34" i="1"/>
  <c r="D13" i="1"/>
  <c r="D14" i="1"/>
  <c r="D15" i="1"/>
  <c r="D16" i="1"/>
  <c r="D211" i="1"/>
  <c r="D18" i="1"/>
  <c r="D258" i="1"/>
  <c r="D296" i="1"/>
  <c r="D311" i="1"/>
  <c r="D23" i="1"/>
  <c r="D24" i="1"/>
  <c r="D394" i="1"/>
  <c r="D444" i="1"/>
  <c r="D83" i="1"/>
  <c r="D26" i="1"/>
  <c r="D28" i="1"/>
  <c r="D33" i="1"/>
  <c r="D106" i="1"/>
  <c r="D160" i="1"/>
  <c r="D192" i="1"/>
  <c r="D235" i="1"/>
  <c r="D272" i="1"/>
  <c r="D256" i="1"/>
  <c r="D321" i="1"/>
  <c r="D265" i="1"/>
  <c r="D38" i="1"/>
  <c r="D143" i="1"/>
  <c r="D331" i="1"/>
  <c r="D355" i="1"/>
  <c r="D395" i="1"/>
  <c r="D129" i="1"/>
  <c r="D49" i="1"/>
  <c r="D66" i="1"/>
  <c r="D43" i="1"/>
  <c r="D45" i="1"/>
  <c r="D44" i="1"/>
  <c r="D46" i="1"/>
  <c r="D48" i="1"/>
  <c r="D212" i="1"/>
  <c r="D307" i="1"/>
  <c r="D52" i="1"/>
  <c r="D432" i="1"/>
  <c r="D5" i="1"/>
  <c r="D57" i="1"/>
  <c r="D19" i="1"/>
  <c r="D39" i="1"/>
  <c r="D62" i="1"/>
  <c r="D89" i="1"/>
  <c r="D67" i="1"/>
  <c r="D68" i="1"/>
  <c r="D69" i="1"/>
  <c r="D107" i="1"/>
  <c r="D125" i="1"/>
  <c r="D75" i="1"/>
  <c r="D136" i="1"/>
  <c r="D150" i="1"/>
  <c r="D161" i="1"/>
  <c r="D172" i="1"/>
  <c r="D76" i="1"/>
  <c r="D77" i="1"/>
  <c r="D179" i="1"/>
  <c r="D79" i="1"/>
  <c r="D80" i="1"/>
  <c r="D82" i="1"/>
  <c r="D193" i="1"/>
  <c r="D199" i="1"/>
  <c r="D85" i="1"/>
  <c r="D200" i="1"/>
  <c r="D87" i="1"/>
  <c r="D406" i="1"/>
  <c r="D225" i="1"/>
  <c r="D226" i="1"/>
  <c r="D90" i="1"/>
  <c r="D236" i="1"/>
  <c r="D81" i="1"/>
  <c r="D237" i="1"/>
  <c r="D291" i="1"/>
  <c r="D96" i="1"/>
  <c r="D88" i="1"/>
  <c r="D93" i="1"/>
  <c r="D273" i="1"/>
  <c r="D97" i="1"/>
  <c r="D98" i="1"/>
  <c r="D100" i="1"/>
  <c r="D99" i="1"/>
  <c r="D281" i="1"/>
  <c r="D297" i="1"/>
  <c r="D298" i="1"/>
  <c r="D101" i="1"/>
  <c r="D322" i="1"/>
  <c r="D323" i="1"/>
  <c r="D332" i="1"/>
  <c r="D364" i="1"/>
  <c r="D365" i="1"/>
  <c r="D116" i="1"/>
  <c r="D380" i="1"/>
  <c r="D115" i="1"/>
  <c r="D381" i="1"/>
  <c r="D417" i="1"/>
  <c r="D418" i="1"/>
  <c r="D114" i="1"/>
  <c r="D117" i="1"/>
  <c r="D108" i="1"/>
  <c r="D433" i="1"/>
  <c r="D118" i="1"/>
  <c r="D445" i="1"/>
  <c r="D29" i="1"/>
  <c r="D220" i="1"/>
  <c r="D128" i="1"/>
  <c r="D40" i="1"/>
  <c r="D123" i="1"/>
  <c r="D126" i="1"/>
  <c r="D122" i="1"/>
  <c r="D130" i="1"/>
  <c r="D60" i="1"/>
  <c r="D70" i="1"/>
  <c r="D131" i="1"/>
  <c r="D121" i="1"/>
  <c r="D134" i="1"/>
  <c r="D135" i="1"/>
  <c r="D91" i="1"/>
  <c r="D109" i="1"/>
  <c r="D151" i="1"/>
  <c r="D180" i="1"/>
  <c r="D194" i="1"/>
  <c r="D227" i="1"/>
  <c r="D144" i="1"/>
  <c r="D145" i="1"/>
  <c r="D146" i="1"/>
  <c r="D148" i="1"/>
  <c r="D147" i="1"/>
  <c r="D239" i="1"/>
  <c r="D284" i="1"/>
  <c r="D309" i="1"/>
  <c r="D334" i="1"/>
  <c r="D368" i="1"/>
  <c r="D170" i="1"/>
  <c r="D153" i="1"/>
  <c r="D156" i="1"/>
  <c r="D155" i="1"/>
  <c r="D419" i="1"/>
  <c r="D442" i="1"/>
  <c r="D120" i="1"/>
  <c r="D446" i="1"/>
  <c r="D71" i="1"/>
  <c r="D162" i="1"/>
  <c r="D163" i="1"/>
  <c r="D293" i="1"/>
  <c r="D167" i="1"/>
  <c r="D164" i="1"/>
  <c r="D92" i="1"/>
  <c r="D102" i="1"/>
  <c r="D169" i="1"/>
  <c r="D168" i="1"/>
  <c r="D110" i="1"/>
  <c r="D175" i="1"/>
  <c r="D127" i="1"/>
  <c r="D173" i="1"/>
  <c r="D137" i="1"/>
  <c r="D178" i="1"/>
  <c r="D152" i="1"/>
  <c r="D181" i="1"/>
  <c r="D203" i="1"/>
  <c r="D228" i="1"/>
  <c r="D249" i="1"/>
  <c r="D274" i="1"/>
  <c r="D185" i="1"/>
  <c r="D299" i="1"/>
  <c r="D187" i="1"/>
  <c r="D335" i="1"/>
  <c r="D356" i="1"/>
  <c r="D384" i="1"/>
  <c r="D190" i="1"/>
  <c r="D420" i="1"/>
  <c r="D196" i="1"/>
  <c r="D198" i="1"/>
  <c r="D447" i="1"/>
  <c r="D27" i="1"/>
  <c r="D201" i="1"/>
  <c r="D188" i="1"/>
  <c r="D202" i="1"/>
  <c r="D58" i="1"/>
  <c r="D61" i="1"/>
  <c r="D205" i="1"/>
  <c r="D207" i="1"/>
  <c r="D78" i="1"/>
  <c r="D208" i="1"/>
  <c r="D209" i="1"/>
  <c r="D119" i="1"/>
  <c r="D157" i="1"/>
  <c r="D215" i="1"/>
  <c r="D214" i="1"/>
  <c r="D428" i="1"/>
  <c r="D213" i="1"/>
  <c r="D216" i="1"/>
  <c r="D217" i="1"/>
  <c r="D218" i="1"/>
  <c r="D221" i="1"/>
  <c r="D222" i="1"/>
  <c r="D206" i="1"/>
  <c r="D245" i="1"/>
  <c r="D267" i="1"/>
  <c r="D289" i="1"/>
  <c r="D324" i="1"/>
  <c r="D350" i="1"/>
  <c r="D388" i="1"/>
  <c r="D229" i="1"/>
  <c r="D231" i="1"/>
  <c r="D232" i="1"/>
  <c r="D437" i="1"/>
  <c r="D238" i="1"/>
  <c r="D30" i="1"/>
  <c r="D103" i="1"/>
  <c r="D132" i="1"/>
  <c r="D233" i="1"/>
  <c r="D243" i="1"/>
  <c r="D182" i="1"/>
  <c r="D224" i="1"/>
  <c r="D269" i="1"/>
  <c r="D300" i="1"/>
  <c r="D247" i="1"/>
  <c r="D234" i="1"/>
  <c r="D336" i="1"/>
  <c r="D255" i="1"/>
  <c r="D210" i="1"/>
  <c r="D248" i="1"/>
  <c r="D397" i="1"/>
  <c r="D449" i="1"/>
  <c r="D250" i="1"/>
  <c r="D253" i="1"/>
  <c r="D7" i="1"/>
  <c r="D20" i="1"/>
  <c r="D259" i="1"/>
  <c r="D315" i="1"/>
  <c r="D31" i="1"/>
  <c r="D41" i="1"/>
  <c r="D54" i="1"/>
  <c r="D263" i="1"/>
  <c r="D257" i="1"/>
  <c r="D246" i="1"/>
  <c r="D266" i="1"/>
  <c r="D268" i="1"/>
  <c r="D254" i="1"/>
  <c r="D64" i="1"/>
  <c r="D72" i="1"/>
  <c r="D94" i="1"/>
  <c r="D111" i="1"/>
  <c r="D139" i="1"/>
  <c r="D154" i="1"/>
  <c r="D183" i="1"/>
  <c r="D271" i="1"/>
  <c r="D276" i="1"/>
  <c r="D277" i="1"/>
  <c r="D278" i="1"/>
  <c r="D327" i="1"/>
  <c r="D279" i="1"/>
  <c r="D240" i="1"/>
  <c r="D282" i="1"/>
  <c r="D283" i="1"/>
  <c r="D280" i="1"/>
  <c r="D260" i="1"/>
  <c r="D275" i="1"/>
  <c r="D288" i="1"/>
  <c r="D287" i="1"/>
  <c r="D301" i="1"/>
  <c r="D312" i="1"/>
  <c r="D404" i="1"/>
  <c r="D330" i="1"/>
  <c r="D448" i="1"/>
  <c r="D292" i="1"/>
  <c r="D337" i="1"/>
  <c r="D371" i="1"/>
  <c r="D398" i="1"/>
  <c r="D421" i="1"/>
  <c r="D450" i="1"/>
  <c r="D294" i="1"/>
  <c r="D84" i="1"/>
  <c r="D133" i="1"/>
  <c r="D176" i="1"/>
  <c r="D295" i="1"/>
  <c r="D304" i="1"/>
  <c r="D223" i="1"/>
  <c r="D261" i="1"/>
  <c r="D308" i="1"/>
  <c r="D305" i="1"/>
  <c r="D342" i="1"/>
  <c r="D403" i="1"/>
  <c r="D316" i="1"/>
  <c r="D314" i="1"/>
  <c r="D310" i="1"/>
  <c r="D317" i="1"/>
  <c r="D461" i="1"/>
  <c r="D320" i="1"/>
  <c r="D456" i="1"/>
  <c r="D8" i="1"/>
  <c r="D21" i="1"/>
  <c r="D32" i="1"/>
  <c r="D42" i="1"/>
  <c r="D328" i="1"/>
  <c r="D329" i="1"/>
  <c r="D55" i="1"/>
  <c r="D65" i="1"/>
  <c r="D73" i="1"/>
  <c r="D333" i="1"/>
  <c r="D95" i="1"/>
  <c r="D112" i="1"/>
  <c r="D140" i="1"/>
  <c r="D165" i="1"/>
  <c r="D184" i="1"/>
  <c r="D340" i="1"/>
  <c r="D204" i="1"/>
  <c r="D341" i="1"/>
  <c r="D343" i="1"/>
  <c r="D344" i="1"/>
  <c r="D345" i="1"/>
  <c r="D241" i="1"/>
  <c r="D347" i="1"/>
  <c r="D348" i="1"/>
  <c r="D441" i="1"/>
  <c r="D262" i="1"/>
  <c r="D349" i="1"/>
  <c r="D351" i="1"/>
  <c r="D352" i="1"/>
  <c r="D353" i="1"/>
  <c r="D285" i="1"/>
  <c r="D302" i="1"/>
  <c r="D354" i="1"/>
  <c r="D360" i="1"/>
  <c r="D357" i="1"/>
  <c r="D358" i="1"/>
  <c r="D313" i="1"/>
  <c r="D361" i="1"/>
  <c r="D158" i="1"/>
  <c r="D366" i="1"/>
  <c r="D338" i="1"/>
  <c r="D372" i="1"/>
  <c r="D399" i="1"/>
  <c r="D367" i="1"/>
  <c r="D382" i="1"/>
  <c r="D422" i="1"/>
  <c r="D369" i="1"/>
  <c r="D451" i="1"/>
  <c r="D22" i="1"/>
  <c r="D370" i="1"/>
  <c r="D374" i="1"/>
  <c r="D375" i="1"/>
  <c r="D376" i="1"/>
  <c r="D377" i="1"/>
  <c r="D378" i="1"/>
  <c r="D379" i="1"/>
  <c r="D56" i="1"/>
  <c r="D104" i="1"/>
  <c r="D383" i="1"/>
  <c r="D141" i="1"/>
  <c r="D174" i="1"/>
  <c r="D195" i="1"/>
  <c r="D389" i="1"/>
  <c r="D390" i="1"/>
  <c r="D391" i="1"/>
  <c r="D392" i="1"/>
  <c r="D242" i="1"/>
  <c r="D270" i="1"/>
  <c r="D290" i="1"/>
  <c r="D303" i="1"/>
  <c r="D400" i="1"/>
  <c r="D339" i="1"/>
  <c r="D393" i="1"/>
  <c r="D402" i="1"/>
  <c r="D373" i="1"/>
  <c r="D405" i="1"/>
  <c r="D407" i="1"/>
  <c r="D408" i="1"/>
  <c r="D409" i="1"/>
  <c r="D411" i="1"/>
  <c r="D413" i="1"/>
  <c r="D436" i="1"/>
  <c r="D74" i="1"/>
  <c r="D86" i="1"/>
  <c r="D105" i="1"/>
  <c r="D142" i="1"/>
  <c r="D166" i="1"/>
  <c r="D186" i="1"/>
  <c r="D414" i="1"/>
  <c r="D423" i="1"/>
  <c r="D425" i="1"/>
  <c r="D435" i="1"/>
  <c r="D410" i="1"/>
  <c r="D396" i="1"/>
  <c r="D438" i="1"/>
  <c r="D430" i="1"/>
  <c r="D230" i="1"/>
  <c r="D251" i="1"/>
  <c r="D434" i="1"/>
  <c r="D415" i="1"/>
  <c r="D416" i="1"/>
  <c r="D286" i="1"/>
  <c r="D325" i="1"/>
  <c r="D439" i="1"/>
  <c r="D440" i="1"/>
  <c r="D346" i="1"/>
  <c r="D359" i="1"/>
  <c r="D385" i="1"/>
  <c r="D424" i="1"/>
  <c r="D452" i="1"/>
  <c r="D25" i="1"/>
  <c r="D113" i="1"/>
  <c r="D252" i="1"/>
  <c r="D455" i="1"/>
  <c r="D386" i="1"/>
  <c r="D459" i="1"/>
  <c r="D462" i="1"/>
  <c r="D460" i="1"/>
  <c r="D429" i="1"/>
  <c r="C4" i="1"/>
  <c r="C5" i="1"/>
  <c r="C6" i="1"/>
  <c r="C10" i="1"/>
  <c r="C7" i="1"/>
  <c r="C8" i="1"/>
  <c r="C9" i="1"/>
  <c r="C34" i="1"/>
  <c r="C13" i="1"/>
  <c r="C14" i="1"/>
  <c r="C15" i="1"/>
  <c r="C16" i="1"/>
  <c r="C19" i="1"/>
  <c r="C18" i="1"/>
  <c r="C20" i="1"/>
  <c r="C21" i="1"/>
  <c r="C22" i="1"/>
  <c r="C23" i="1"/>
  <c r="C24" i="1"/>
  <c r="C25" i="1"/>
  <c r="C27" i="1"/>
  <c r="C26" i="1"/>
  <c r="C28" i="1"/>
  <c r="C33" i="1"/>
  <c r="C29" i="1"/>
  <c r="C30" i="1"/>
  <c r="C31" i="1"/>
  <c r="C32" i="1"/>
  <c r="C35" i="1"/>
  <c r="C256" i="1"/>
  <c r="C265" i="1"/>
  <c r="C38" i="1"/>
  <c r="C143" i="1"/>
  <c r="C39" i="1"/>
  <c r="C40" i="1"/>
  <c r="C129" i="1"/>
  <c r="C41" i="1"/>
  <c r="C42" i="1"/>
  <c r="C43" i="1"/>
  <c r="C45" i="1"/>
  <c r="C44" i="1"/>
  <c r="C46" i="1"/>
  <c r="C48" i="1"/>
  <c r="C51" i="1"/>
  <c r="C49" i="1"/>
  <c r="C53" i="1"/>
  <c r="C52" i="1"/>
  <c r="C57" i="1"/>
  <c r="C54" i="1"/>
  <c r="C55" i="1"/>
  <c r="C56" i="1"/>
  <c r="C58" i="1"/>
  <c r="C60" i="1"/>
  <c r="C61" i="1"/>
  <c r="C62" i="1"/>
  <c r="C64" i="1"/>
  <c r="C65" i="1"/>
  <c r="C66" i="1"/>
  <c r="C67" i="1"/>
  <c r="C68" i="1"/>
  <c r="C69" i="1"/>
  <c r="C70" i="1"/>
  <c r="C75" i="1"/>
  <c r="C71" i="1"/>
  <c r="C72" i="1"/>
  <c r="C73" i="1"/>
  <c r="C74" i="1"/>
  <c r="C76" i="1"/>
  <c r="C77" i="1"/>
  <c r="C78" i="1"/>
  <c r="C79" i="1"/>
  <c r="C80" i="1"/>
  <c r="C82" i="1"/>
  <c r="C83" i="1"/>
  <c r="C84" i="1"/>
  <c r="C85" i="1"/>
  <c r="C86" i="1"/>
  <c r="C87" i="1"/>
  <c r="C406" i="1"/>
  <c r="C89" i="1"/>
  <c r="C90" i="1"/>
  <c r="C91" i="1"/>
  <c r="C81" i="1"/>
  <c r="C92" i="1"/>
  <c r="C291" i="1"/>
  <c r="C96" i="1"/>
  <c r="C88" i="1"/>
  <c r="C94" i="1"/>
  <c r="C93" i="1"/>
  <c r="C95" i="1"/>
  <c r="C98" i="1"/>
  <c r="C100" i="1"/>
  <c r="C99" i="1"/>
  <c r="C102" i="1"/>
  <c r="C103" i="1"/>
  <c r="C104" i="1"/>
  <c r="C101" i="1"/>
  <c r="C105" i="1"/>
  <c r="C106" i="1"/>
  <c r="C107" i="1"/>
  <c r="C109" i="1"/>
  <c r="C116" i="1"/>
  <c r="C110" i="1"/>
  <c r="C115" i="1"/>
  <c r="C111" i="1"/>
  <c r="C112" i="1"/>
  <c r="C113" i="1"/>
  <c r="C114" i="1"/>
  <c r="C117" i="1"/>
  <c r="C108" i="1"/>
  <c r="C119" i="1"/>
  <c r="C118" i="1"/>
  <c r="C124" i="1"/>
  <c r="C125" i="1"/>
  <c r="C220" i="1"/>
  <c r="C128" i="1"/>
  <c r="C127" i="1"/>
  <c r="C123" i="1"/>
  <c r="C126" i="1"/>
  <c r="C122" i="1"/>
  <c r="C130" i="1"/>
  <c r="C132" i="1"/>
  <c r="C133" i="1"/>
  <c r="C131" i="1"/>
  <c r="C121" i="1"/>
  <c r="C134" i="1"/>
  <c r="C135" i="1"/>
  <c r="C136" i="1"/>
  <c r="C137" i="1"/>
  <c r="C139" i="1"/>
  <c r="C140" i="1"/>
  <c r="C141" i="1"/>
  <c r="C142" i="1"/>
  <c r="C144" i="1"/>
  <c r="C145" i="1"/>
  <c r="C146" i="1"/>
  <c r="C148" i="1"/>
  <c r="C147" i="1"/>
  <c r="C149" i="1"/>
  <c r="C150" i="1"/>
  <c r="C151" i="1"/>
  <c r="C152" i="1"/>
  <c r="C154" i="1"/>
  <c r="C170" i="1"/>
  <c r="C153" i="1"/>
  <c r="C156" i="1"/>
  <c r="C155" i="1"/>
  <c r="C157" i="1"/>
  <c r="C442" i="1"/>
  <c r="C120" i="1"/>
  <c r="C160" i="1"/>
  <c r="C161" i="1"/>
  <c r="C162" i="1"/>
  <c r="C163" i="1"/>
  <c r="C293" i="1"/>
  <c r="C167" i="1"/>
  <c r="C164" i="1"/>
  <c r="C165" i="1"/>
  <c r="C166" i="1"/>
  <c r="C169" i="1"/>
  <c r="C168" i="1"/>
  <c r="C172" i="1"/>
  <c r="C175" i="1"/>
  <c r="C174" i="1"/>
  <c r="C173" i="1"/>
  <c r="C176" i="1"/>
  <c r="C178" i="1"/>
  <c r="C179" i="1"/>
  <c r="C180" i="1"/>
  <c r="C181" i="1"/>
  <c r="C182" i="1"/>
  <c r="C183" i="1"/>
  <c r="C184" i="1"/>
  <c r="C185" i="1"/>
  <c r="C186" i="1"/>
  <c r="C187" i="1"/>
  <c r="C192" i="1"/>
  <c r="C193" i="1"/>
  <c r="C194" i="1"/>
  <c r="C190" i="1"/>
  <c r="C195" i="1"/>
  <c r="C196" i="1"/>
  <c r="C198" i="1"/>
  <c r="C199" i="1"/>
  <c r="C200" i="1"/>
  <c r="C201" i="1"/>
  <c r="C203" i="1"/>
  <c r="C188" i="1"/>
  <c r="C202" i="1"/>
  <c r="C204" i="1"/>
  <c r="C205" i="1"/>
  <c r="C207" i="1"/>
  <c r="C206" i="1"/>
  <c r="C208" i="1"/>
  <c r="C209" i="1"/>
  <c r="C211" i="1"/>
  <c r="C212" i="1"/>
  <c r="C215" i="1"/>
  <c r="C214" i="1"/>
  <c r="C428" i="1"/>
  <c r="C213" i="1"/>
  <c r="C216" i="1"/>
  <c r="C217" i="1"/>
  <c r="C218" i="1"/>
  <c r="C221" i="1"/>
  <c r="C222" i="1"/>
  <c r="C223" i="1"/>
  <c r="C225" i="1"/>
  <c r="C226" i="1"/>
  <c r="C227" i="1"/>
  <c r="C228" i="1"/>
  <c r="C224" i="1"/>
  <c r="C230" i="1"/>
  <c r="C229" i="1"/>
  <c r="C231" i="1"/>
  <c r="C232" i="1"/>
  <c r="C235" i="1"/>
  <c r="C238" i="1"/>
  <c r="C236" i="1"/>
  <c r="C237" i="1"/>
  <c r="C239" i="1"/>
  <c r="C233" i="1"/>
  <c r="C243" i="1"/>
  <c r="C240" i="1"/>
  <c r="C241" i="1"/>
  <c r="C242" i="1"/>
  <c r="C245" i="1"/>
  <c r="C247" i="1"/>
  <c r="C234" i="1"/>
  <c r="C249" i="1"/>
  <c r="C255" i="1"/>
  <c r="C210" i="1"/>
  <c r="C248" i="1"/>
  <c r="C251" i="1"/>
  <c r="C252" i="1"/>
  <c r="C250" i="1"/>
  <c r="C253" i="1"/>
  <c r="C258" i="1"/>
  <c r="C259" i="1"/>
  <c r="C315" i="1"/>
  <c r="C260" i="1"/>
  <c r="C261" i="1"/>
  <c r="C262" i="1"/>
  <c r="C263" i="1"/>
  <c r="C257" i="1"/>
  <c r="C246" i="1"/>
  <c r="C266" i="1"/>
  <c r="C268" i="1"/>
  <c r="C254" i="1"/>
  <c r="C267" i="1"/>
  <c r="C269" i="1"/>
  <c r="C270" i="1"/>
  <c r="C272" i="1"/>
  <c r="C273" i="1"/>
  <c r="C274" i="1"/>
  <c r="C275" i="1"/>
  <c r="C271" i="1"/>
  <c r="C276" i="1"/>
  <c r="C277" i="1"/>
  <c r="C278" i="1"/>
  <c r="C327" i="1"/>
  <c r="C279" i="1"/>
  <c r="C281" i="1"/>
  <c r="C284" i="1"/>
  <c r="C282" i="1"/>
  <c r="C283" i="1"/>
  <c r="C280" i="1"/>
  <c r="C285" i="1"/>
  <c r="C286" i="1"/>
  <c r="C288" i="1"/>
  <c r="C287" i="1"/>
  <c r="C289" i="1"/>
  <c r="C290" i="1"/>
  <c r="C404" i="1"/>
  <c r="C330" i="1"/>
  <c r="C448" i="1"/>
  <c r="C292" i="1"/>
  <c r="C296" i="1"/>
  <c r="C297" i="1"/>
  <c r="C298" i="1"/>
  <c r="C309" i="1"/>
  <c r="C299" i="1"/>
  <c r="C294" i="1"/>
  <c r="C300" i="1"/>
  <c r="C301" i="1"/>
  <c r="C302" i="1"/>
  <c r="C303" i="1"/>
  <c r="C295" i="1"/>
  <c r="C304" i="1"/>
  <c r="C305" i="1"/>
  <c r="C307" i="1"/>
  <c r="C308" i="1"/>
  <c r="C311" i="1"/>
  <c r="C312" i="1"/>
  <c r="C313" i="1"/>
  <c r="C316" i="1"/>
  <c r="C314" i="1"/>
  <c r="C310" i="1"/>
  <c r="C317" i="1"/>
  <c r="C461" i="1"/>
  <c r="C320" i="1"/>
  <c r="C321" i="1"/>
  <c r="C322" i="1"/>
  <c r="C323" i="1"/>
  <c r="C324" i="1"/>
  <c r="C325" i="1"/>
  <c r="C328" i="1"/>
  <c r="C329" i="1"/>
  <c r="C331" i="1"/>
  <c r="C332" i="1"/>
  <c r="C334" i="1"/>
  <c r="C333" i="1"/>
  <c r="C335" i="1"/>
  <c r="C336" i="1"/>
  <c r="C337" i="1"/>
  <c r="C338" i="1"/>
  <c r="C339" i="1"/>
  <c r="C340" i="1"/>
  <c r="C342" i="1"/>
  <c r="C341" i="1"/>
  <c r="C343" i="1"/>
  <c r="C344" i="1"/>
  <c r="C345" i="1"/>
  <c r="C346" i="1"/>
  <c r="C347" i="1"/>
  <c r="C348" i="1"/>
  <c r="C441" i="1"/>
  <c r="C350" i="1"/>
  <c r="C349" i="1"/>
  <c r="C351" i="1"/>
  <c r="C352" i="1"/>
  <c r="C353" i="1"/>
  <c r="C355" i="1"/>
  <c r="C356" i="1"/>
  <c r="C354" i="1"/>
  <c r="C360" i="1"/>
  <c r="C357" i="1"/>
  <c r="C358" i="1"/>
  <c r="C359" i="1"/>
  <c r="C361" i="1"/>
  <c r="C158" i="1"/>
  <c r="C366" i="1"/>
  <c r="C364" i="1"/>
  <c r="C365" i="1"/>
  <c r="C368" i="1"/>
  <c r="C367" i="1"/>
  <c r="C382" i="1"/>
  <c r="C371" i="1"/>
  <c r="C369" i="1"/>
  <c r="C372" i="1"/>
  <c r="C373" i="1"/>
  <c r="C370" i="1"/>
  <c r="C374" i="1"/>
  <c r="C375" i="1"/>
  <c r="C376" i="1"/>
  <c r="C377" i="1"/>
  <c r="C378" i="1"/>
  <c r="C379" i="1"/>
  <c r="C380" i="1"/>
  <c r="C381" i="1"/>
  <c r="C384" i="1"/>
  <c r="C383" i="1"/>
  <c r="C385" i="1"/>
  <c r="C386" i="1"/>
  <c r="C388" i="1"/>
  <c r="C389" i="1"/>
  <c r="C390" i="1"/>
  <c r="C391" i="1"/>
  <c r="C392" i="1"/>
  <c r="C394" i="1"/>
  <c r="C395" i="1"/>
  <c r="C397" i="1"/>
  <c r="C398" i="1"/>
  <c r="C400" i="1"/>
  <c r="C399" i="1"/>
  <c r="C393" i="1"/>
  <c r="C402" i="1"/>
  <c r="C403" i="1"/>
  <c r="C405" i="1"/>
  <c r="C407" i="1"/>
  <c r="C408" i="1"/>
  <c r="C409" i="1"/>
  <c r="C411" i="1"/>
  <c r="C413" i="1"/>
  <c r="C417" i="1"/>
  <c r="C418" i="1"/>
  <c r="C419" i="1"/>
  <c r="C420" i="1"/>
  <c r="C421" i="1"/>
  <c r="C422" i="1"/>
  <c r="C424" i="1"/>
  <c r="C414" i="1"/>
  <c r="C423" i="1"/>
  <c r="C425" i="1"/>
  <c r="C435" i="1"/>
  <c r="C410" i="1"/>
  <c r="C396" i="1"/>
  <c r="C438" i="1"/>
  <c r="C430" i="1"/>
  <c r="C432" i="1"/>
  <c r="C433" i="1"/>
  <c r="C434" i="1"/>
  <c r="C415" i="1"/>
  <c r="C416" i="1"/>
  <c r="C436" i="1"/>
  <c r="C437" i="1"/>
  <c r="C439" i="1"/>
  <c r="C440" i="1"/>
  <c r="C444" i="1"/>
  <c r="C445" i="1"/>
  <c r="C446" i="1"/>
  <c r="C447" i="1"/>
  <c r="C449" i="1"/>
  <c r="C450" i="1"/>
  <c r="C451" i="1"/>
  <c r="C452" i="1"/>
  <c r="C455" i="1"/>
  <c r="C456" i="1"/>
  <c r="C459" i="1"/>
  <c r="C462" i="1"/>
  <c r="C460" i="1"/>
  <c r="C429" i="1"/>
  <c r="F16" i="25" l="1"/>
  <c r="E16" i="25"/>
  <c r="AB8" i="25"/>
  <c r="X8" i="25"/>
  <c r="V8" i="25"/>
  <c r="F27" i="25"/>
  <c r="F35" i="25"/>
  <c r="F23" i="25"/>
  <c r="F18" i="25"/>
  <c r="AB9" i="25"/>
  <c r="X9" i="25"/>
  <c r="Z9" i="25"/>
  <c r="F43" i="25"/>
  <c r="F32" i="25"/>
  <c r="F40" i="25"/>
  <c r="F19" i="25"/>
  <c r="F10" i="25"/>
  <c r="F28" i="25"/>
  <c r="F31" i="25"/>
  <c r="F21" i="25"/>
  <c r="F41" i="25"/>
  <c r="F25" i="25"/>
  <c r="F20" i="25"/>
  <c r="E33" i="25"/>
  <c r="F33" i="25"/>
  <c r="E42" i="25"/>
  <c r="F42" i="25"/>
  <c r="F38" i="25"/>
  <c r="E8" i="25"/>
  <c r="E37" i="25"/>
  <c r="E14" i="25"/>
  <c r="E26" i="25"/>
  <c r="E9" i="25"/>
  <c r="E32" i="25"/>
  <c r="E40" i="25"/>
  <c r="E19" i="25"/>
  <c r="E31" i="25"/>
  <c r="E12" i="25"/>
  <c r="E25" i="25"/>
  <c r="E13" i="25"/>
  <c r="E30" i="25"/>
  <c r="E23" i="25"/>
  <c r="E21" i="25"/>
  <c r="E41" i="25"/>
  <c r="E27" i="25"/>
  <c r="E43" i="25"/>
  <c r="E35" i="25"/>
  <c r="E20" i="25"/>
  <c r="E24" i="25"/>
  <c r="E39" i="25"/>
  <c r="E11" i="25"/>
  <c r="E18" i="25"/>
  <c r="E15" i="25"/>
  <c r="E36" i="25"/>
  <c r="E28" i="25"/>
  <c r="E22" i="25"/>
  <c r="E38" i="25"/>
  <c r="E34" i="25"/>
  <c r="E7" i="25"/>
  <c r="E10" i="25"/>
  <c r="F6" i="25"/>
  <c r="E6" i="25"/>
  <c r="T465" i="1"/>
  <c r="U465" i="1"/>
  <c r="F41" i="17" l="1"/>
  <c r="E8" i="20"/>
  <c r="E7" i="20"/>
  <c r="Q34" i="17" l="1"/>
  <c r="Q5" i="17"/>
  <c r="Q24" i="17"/>
  <c r="Q12" i="17"/>
  <c r="P39" i="17"/>
  <c r="P40" i="17"/>
  <c r="P10" i="17"/>
  <c r="P26" i="17"/>
  <c r="P30" i="17"/>
  <c r="P6" i="17"/>
  <c r="P36" i="17"/>
  <c r="P15" i="17"/>
  <c r="P8" i="17"/>
  <c r="P33" i="17"/>
  <c r="P32" i="17"/>
  <c r="P29" i="17"/>
  <c r="P37" i="17"/>
  <c r="P34" i="17"/>
  <c r="P16" i="17"/>
  <c r="Q35" i="17"/>
  <c r="P21" i="17"/>
  <c r="P7" i="17"/>
  <c r="P9" i="17"/>
  <c r="P13" i="17"/>
  <c r="P25" i="17"/>
  <c r="P11" i="17"/>
  <c r="P14" i="17"/>
  <c r="P12" i="17"/>
  <c r="P28" i="17"/>
  <c r="Q15" i="17"/>
  <c r="P35" i="17"/>
  <c r="P27" i="17"/>
  <c r="Q6" i="17"/>
  <c r="P38" i="17"/>
  <c r="P23" i="17"/>
  <c r="P19" i="17"/>
  <c r="P31" i="17"/>
  <c r="P22" i="17"/>
  <c r="Q40" i="17"/>
  <c r="P20" i="17"/>
  <c r="Q39" i="17"/>
  <c r="P17" i="17"/>
  <c r="P18" i="17"/>
  <c r="Q30" i="17"/>
  <c r="P24" i="17"/>
  <c r="Q27" i="17"/>
  <c r="Q14" i="17"/>
  <c r="Q8" i="17"/>
  <c r="Q22" i="17"/>
  <c r="Q28" i="17"/>
  <c r="Q21" i="17"/>
  <c r="Q31" i="17"/>
  <c r="Q19" i="17"/>
  <c r="Q17" i="17"/>
  <c r="Q16" i="17"/>
  <c r="Q36" i="17"/>
  <c r="Q20" i="17"/>
  <c r="Q33" i="17"/>
  <c r="Q32" i="17"/>
  <c r="Q10" i="17"/>
  <c r="Q18" i="17"/>
  <c r="Q25" i="17"/>
  <c r="Q37" i="17"/>
  <c r="Q9" i="17"/>
  <c r="Q23" i="17"/>
  <c r="Q7" i="17"/>
  <c r="Q11" i="17"/>
  <c r="Q13" i="17"/>
  <c r="Q29" i="17"/>
  <c r="Q26" i="17"/>
  <c r="Q38" i="17"/>
  <c r="F7" i="20"/>
  <c r="F8" i="20"/>
  <c r="T41" i="17" l="1"/>
  <c r="S41" i="17"/>
  <c r="H41" i="17"/>
  <c r="B2" i="17"/>
  <c r="D53" i="11" l="1"/>
  <c r="A2" i="11"/>
  <c r="E19" i="14" l="1"/>
  <c r="E8" i="14"/>
  <c r="E19" i="15" l="1"/>
  <c r="E18" i="15"/>
  <c r="C3" i="15"/>
  <c r="C6" i="15"/>
  <c r="C7" i="15"/>
  <c r="C20" i="15"/>
  <c r="C17" i="15"/>
  <c r="C19" i="15"/>
  <c r="C18" i="15"/>
  <c r="C2" i="15"/>
  <c r="C16" i="15"/>
  <c r="C9" i="15" l="1"/>
  <c r="C13" i="15"/>
  <c r="B15" i="15"/>
  <c r="C5" i="15"/>
  <c r="B17" i="15"/>
  <c r="D17" i="15" s="1"/>
  <c r="E17" i="15" s="1"/>
  <c r="B5" i="15"/>
  <c r="C14" i="15"/>
  <c r="B19" i="15"/>
  <c r="B3" i="15"/>
  <c r="D3" i="15" s="1"/>
  <c r="E3" i="15" s="1"/>
  <c r="B13" i="15"/>
  <c r="C11" i="15"/>
  <c r="B9" i="15"/>
  <c r="B20" i="15"/>
  <c r="D20" i="15" s="1"/>
  <c r="E20" i="15" s="1"/>
  <c r="B10" i="15"/>
  <c r="B14" i="15"/>
  <c r="B6" i="15"/>
  <c r="D6" i="15" s="1"/>
  <c r="E6" i="15" s="1"/>
  <c r="B4" i="15"/>
  <c r="B11" i="15"/>
  <c r="B16" i="15"/>
  <c r="D16" i="15" s="1"/>
  <c r="E16" i="15" s="1"/>
  <c r="C4" i="15"/>
  <c r="B2" i="15"/>
  <c r="D2" i="15" s="1"/>
  <c r="E2" i="15" s="1"/>
  <c r="B7" i="15"/>
  <c r="D7" i="15" s="1"/>
  <c r="E7" i="15" s="1"/>
  <c r="C12" i="15"/>
  <c r="C8" i="15"/>
  <c r="C15" i="15"/>
  <c r="B18" i="15"/>
  <c r="B12" i="15"/>
  <c r="C10" i="15"/>
  <c r="D9" i="15" l="1"/>
  <c r="E9" i="15" s="1"/>
  <c r="D13" i="15"/>
  <c r="E13" i="15" s="1"/>
  <c r="D15" i="15"/>
  <c r="E15" i="15" s="1"/>
  <c r="D14" i="15"/>
  <c r="E14" i="15" s="1"/>
  <c r="D4" i="15"/>
  <c r="E4" i="15" s="1"/>
  <c r="D11" i="15"/>
  <c r="E11" i="15" s="1"/>
  <c r="D5" i="15"/>
  <c r="E5" i="15" s="1"/>
  <c r="D10" i="15"/>
  <c r="E10" i="15" s="1"/>
  <c r="D12" i="15"/>
  <c r="E12" i="15" s="1"/>
  <c r="B6" i="14" l="1"/>
  <c r="B10" i="14"/>
  <c r="B12" i="14"/>
  <c r="B11" i="14"/>
  <c r="B4" i="14"/>
  <c r="B7" i="14"/>
  <c r="B13" i="14"/>
  <c r="B17" i="14"/>
  <c r="B9" i="14"/>
  <c r="B5" i="14"/>
  <c r="B14" i="14"/>
  <c r="B16" i="14"/>
  <c r="B15" i="14"/>
  <c r="B20" i="14"/>
  <c r="B18" i="14"/>
  <c r="B19" i="14"/>
  <c r="B8" i="14"/>
  <c r="B2" i="14"/>
  <c r="C6" i="14"/>
  <c r="C10" i="14"/>
  <c r="C12" i="14"/>
  <c r="C11" i="14"/>
  <c r="C4" i="14"/>
  <c r="C7" i="14"/>
  <c r="C13" i="14"/>
  <c r="C17" i="14"/>
  <c r="C9" i="14"/>
  <c r="C5" i="14"/>
  <c r="C14" i="14"/>
  <c r="C16" i="14"/>
  <c r="C15" i="14"/>
  <c r="C20" i="14"/>
  <c r="C18" i="14"/>
  <c r="C19" i="14"/>
  <c r="C8" i="14"/>
  <c r="C2" i="14"/>
  <c r="C3" i="14"/>
  <c r="B3" i="14"/>
  <c r="D20" i="14" l="1"/>
  <c r="E4" i="11"/>
  <c r="E28" i="11"/>
  <c r="E35" i="11"/>
  <c r="E38" i="11"/>
  <c r="E10" i="11"/>
  <c r="E8" i="11"/>
  <c r="E29" i="11"/>
  <c r="E30" i="11"/>
  <c r="E33" i="11"/>
  <c r="E11" i="11"/>
  <c r="E37" i="11"/>
  <c r="E15" i="11"/>
  <c r="E21" i="11"/>
  <c r="E32" i="11"/>
  <c r="E7" i="11"/>
  <c r="E18" i="11"/>
  <c r="E36" i="11"/>
  <c r="E6" i="11"/>
  <c r="E20" i="11"/>
  <c r="E9" i="11"/>
  <c r="E19" i="11"/>
  <c r="E31" i="11"/>
  <c r="E5" i="11"/>
  <c r="E27" i="11"/>
  <c r="E14" i="11"/>
  <c r="E13" i="11"/>
  <c r="E16" i="11"/>
  <c r="E17" i="11"/>
  <c r="E22" i="11"/>
  <c r="E23" i="11"/>
  <c r="E24" i="11"/>
  <c r="E25" i="11"/>
  <c r="E26" i="11"/>
  <c r="E34" i="11"/>
  <c r="E39" i="11"/>
  <c r="F39" i="11" l="1"/>
  <c r="I39" i="11" s="1"/>
  <c r="F24" i="11"/>
  <c r="I24" i="11" s="1"/>
  <c r="F16" i="11"/>
  <c r="I16" i="11" s="1"/>
  <c r="F27" i="11"/>
  <c r="F9" i="11"/>
  <c r="F36" i="11"/>
  <c r="F21" i="11"/>
  <c r="F33" i="11"/>
  <c r="F10" i="11"/>
  <c r="F34" i="11"/>
  <c r="I34" i="11" s="1"/>
  <c r="F23" i="11"/>
  <c r="I23" i="11" s="1"/>
  <c r="F5" i="11"/>
  <c r="F12" i="11"/>
  <c r="F18" i="11"/>
  <c r="F15" i="11"/>
  <c r="F30" i="11"/>
  <c r="F26" i="11"/>
  <c r="I26" i="11" s="1"/>
  <c r="F22" i="11"/>
  <c r="I22" i="11" s="1"/>
  <c r="F13" i="11"/>
  <c r="F31" i="11"/>
  <c r="F20" i="11"/>
  <c r="F7" i="11"/>
  <c r="F37" i="11"/>
  <c r="F29" i="11"/>
  <c r="F35" i="11"/>
  <c r="F25" i="11"/>
  <c r="I25" i="11" s="1"/>
  <c r="F17" i="11"/>
  <c r="I17" i="11" s="1"/>
  <c r="F14" i="11"/>
  <c r="F19" i="11"/>
  <c r="F6" i="11"/>
  <c r="F32" i="11"/>
  <c r="F11" i="11"/>
  <c r="F8" i="11"/>
  <c r="F28" i="11"/>
  <c r="F38" i="11"/>
  <c r="D18" i="14" l="1"/>
  <c r="E18" i="14" s="1"/>
  <c r="D16" i="14"/>
  <c r="E16" i="14" s="1"/>
  <c r="D2" i="14"/>
  <c r="E2" i="14" s="1"/>
  <c r="E20" i="14"/>
  <c r="D9" i="14"/>
  <c r="E9" i="14" s="1"/>
  <c r="D4" i="14"/>
  <c r="E4" i="14" s="1"/>
  <c r="D14" i="14"/>
  <c r="E14" i="14" s="1"/>
  <c r="D10" i="14"/>
  <c r="E10" i="14" s="1"/>
  <c r="D13" i="14"/>
  <c r="E13" i="14" s="1"/>
  <c r="D11" i="14"/>
  <c r="E11" i="14" s="1"/>
  <c r="D5" i="14"/>
  <c r="E5" i="14" s="1"/>
  <c r="D7" i="14"/>
  <c r="E7" i="14" s="1"/>
  <c r="D3" i="14"/>
  <c r="E3" i="14" s="1"/>
  <c r="D6" i="14"/>
  <c r="E6" i="14" s="1"/>
  <c r="D12" i="14"/>
  <c r="E12" i="14" s="1"/>
  <c r="D15" i="14"/>
  <c r="E15" i="14" s="1"/>
  <c r="D17" i="14"/>
  <c r="E17" i="14" s="1"/>
  <c r="I4" i="11" l="1"/>
  <c r="I5" i="11"/>
  <c r="I6" i="11"/>
  <c r="I7" i="11"/>
  <c r="I8" i="11"/>
  <c r="I9" i="11"/>
  <c r="I10" i="11"/>
  <c r="I11" i="11"/>
  <c r="I12" i="11"/>
  <c r="I13" i="11"/>
  <c r="I14" i="11"/>
  <c r="I15" i="11"/>
  <c r="I18" i="11"/>
  <c r="I19" i="11"/>
  <c r="I20" i="11"/>
  <c r="I21" i="11"/>
  <c r="I27" i="11"/>
  <c r="I28" i="11"/>
  <c r="I29" i="11"/>
  <c r="I30" i="11"/>
  <c r="I32" i="11"/>
  <c r="I33" i="11"/>
  <c r="I35" i="11"/>
  <c r="I36" i="11"/>
  <c r="I37" i="11"/>
  <c r="D40" i="11"/>
  <c r="H4" i="11"/>
  <c r="H5" i="11"/>
  <c r="H6" i="11"/>
  <c r="H7" i="11"/>
  <c r="H8" i="11"/>
  <c r="H9" i="11"/>
  <c r="H10" i="11"/>
  <c r="H11" i="11"/>
  <c r="H12" i="11"/>
  <c r="H13" i="11"/>
  <c r="H14" i="11"/>
  <c r="H15" i="11"/>
  <c r="H16" i="11"/>
  <c r="H17" i="11"/>
  <c r="H18" i="11"/>
  <c r="H19" i="11"/>
  <c r="H20" i="11"/>
  <c r="H21" i="11"/>
  <c r="H22" i="11"/>
  <c r="H23" i="11"/>
  <c r="H24" i="11"/>
  <c r="H25" i="11"/>
  <c r="H26" i="11"/>
  <c r="H27" i="11"/>
  <c r="H28" i="11"/>
  <c r="H29" i="11"/>
  <c r="H30" i="11"/>
  <c r="H32" i="11"/>
  <c r="H33" i="11"/>
  <c r="H34" i="11"/>
  <c r="H35" i="11"/>
  <c r="H36" i="11"/>
  <c r="H37" i="11"/>
  <c r="H39" i="11"/>
  <c r="G40" i="11"/>
  <c r="D37" i="8"/>
  <c r="D39" i="8"/>
  <c r="D32" i="8"/>
  <c r="D22" i="8"/>
  <c r="D12" i="8"/>
  <c r="H31" i="11" l="1"/>
  <c r="H38" i="11"/>
  <c r="I31" i="11"/>
  <c r="F40" i="11"/>
  <c r="I38" i="11"/>
  <c r="I40" i="11" l="1"/>
  <c r="L38" i="17"/>
  <c r="M38" i="17" s="1"/>
  <c r="N38" i="17" s="1"/>
  <c r="L20" i="17"/>
  <c r="M20" i="17" s="1"/>
  <c r="N20" i="17" s="1"/>
  <c r="D11" i="11"/>
  <c r="L28" i="17"/>
  <c r="M28" i="17" s="1"/>
  <c r="N28" i="17" s="1"/>
  <c r="L26" i="17"/>
  <c r="M26" i="17" s="1"/>
  <c r="N26" i="17" s="1"/>
  <c r="L24" i="17"/>
  <c r="M24" i="17" s="1"/>
  <c r="N24" i="17" s="1"/>
  <c r="D26" i="11"/>
  <c r="L16" i="17"/>
  <c r="M16" i="17" s="1"/>
  <c r="N16" i="17" s="1"/>
  <c r="L27" i="17"/>
  <c r="M27" i="17" s="1"/>
  <c r="N27" i="17" s="1"/>
  <c r="L8" i="17"/>
  <c r="M8" i="17" s="1"/>
  <c r="N8" i="17" s="1"/>
  <c r="L33" i="17"/>
  <c r="M33" i="17" s="1"/>
  <c r="N33" i="17" s="1"/>
  <c r="L39" i="17"/>
  <c r="M39" i="17" s="1"/>
  <c r="N39" i="17" s="1"/>
  <c r="L21" i="17"/>
  <c r="M21" i="17" s="1"/>
  <c r="N21" i="17" s="1"/>
  <c r="D7" i="11"/>
  <c r="D39" i="11"/>
  <c r="M19" i="17"/>
  <c r="N19" i="17" s="1"/>
  <c r="D16" i="11"/>
  <c r="L40" i="17"/>
  <c r="M40" i="17" s="1"/>
  <c r="N40" i="17" s="1"/>
  <c r="L32" i="17"/>
  <c r="M32" i="17" s="1"/>
  <c r="N32" i="17" s="1"/>
  <c r="D32" i="11"/>
  <c r="L14" i="17"/>
  <c r="M14" i="17" s="1"/>
  <c r="N14" i="17" s="1"/>
  <c r="L25" i="17"/>
  <c r="M25" i="17" s="1"/>
  <c r="N25" i="17" s="1"/>
  <c r="D20" i="11"/>
  <c r="D31" i="11"/>
  <c r="L15" i="17"/>
  <c r="M15" i="17" s="1"/>
  <c r="N15" i="17" s="1"/>
  <c r="L11" i="17"/>
  <c r="M11" i="17" s="1"/>
  <c r="N11" i="17" s="1"/>
  <c r="D12" i="11"/>
  <c r="L5" i="17"/>
  <c r="M5" i="17" s="1"/>
  <c r="N5" i="17" s="1"/>
  <c r="L30" i="17"/>
  <c r="M30" i="17" s="1"/>
  <c r="N30" i="17" s="1"/>
  <c r="D18" i="11"/>
  <c r="L34" i="17"/>
  <c r="D4" i="11"/>
  <c r="L6" i="17"/>
  <c r="M6" i="17" s="1"/>
  <c r="N6" i="17" s="1"/>
  <c r="D38" i="11"/>
  <c r="L10" i="17"/>
  <c r="M10" i="17" s="1"/>
  <c r="N10" i="17" s="1"/>
  <c r="L9" i="17"/>
  <c r="M9" i="17" s="1"/>
  <c r="N9" i="17" s="1"/>
  <c r="D33" i="11"/>
  <c r="D36" i="11"/>
  <c r="D30" i="11"/>
  <c r="L23" i="17"/>
  <c r="M23" i="17" s="1"/>
  <c r="N23" i="17" s="1"/>
  <c r="D37" i="11"/>
  <c r="L31" i="17"/>
  <c r="D17" i="11"/>
  <c r="L7" i="17"/>
  <c r="M7" i="17" s="1"/>
  <c r="N7" i="17" s="1"/>
  <c r="D24" i="11"/>
  <c r="L22" i="17"/>
  <c r="M22" i="17" s="1"/>
  <c r="N22" i="17" s="1"/>
  <c r="L35" i="17"/>
  <c r="M35" i="17" s="1"/>
  <c r="N35" i="17" s="1"/>
  <c r="M18" i="17"/>
  <c r="N18" i="17" s="1"/>
  <c r="L36" i="17"/>
  <c r="M36" i="17" s="1"/>
  <c r="N36" i="17" s="1"/>
  <c r="D22" i="11"/>
  <c r="D6" i="11"/>
  <c r="D35" i="11"/>
  <c r="D29" i="11"/>
  <c r="D21" i="11"/>
  <c r="D25" i="11"/>
  <c r="D5" i="11"/>
  <c r="B465" i="1"/>
  <c r="D28" i="11"/>
  <c r="D19" i="11"/>
  <c r="D8" i="11"/>
  <c r="D13" i="11"/>
  <c r="L37" i="17"/>
  <c r="M37" i="17" s="1"/>
  <c r="N37" i="17" s="1"/>
  <c r="D27" i="11"/>
  <c r="L17" i="17"/>
  <c r="M17" i="17" s="1"/>
  <c r="N17" i="17" s="1"/>
  <c r="L29" i="17"/>
  <c r="D10" i="11"/>
  <c r="D14" i="11"/>
  <c r="D9" i="11"/>
  <c r="D23" i="11"/>
  <c r="L13" i="17"/>
  <c r="M13" i="17" s="1"/>
  <c r="N13" i="17" s="1"/>
  <c r="D15" i="11"/>
  <c r="D34" i="11"/>
  <c r="K30" i="17"/>
  <c r="R30" i="17" s="1"/>
  <c r="K35" i="17"/>
  <c r="R35" i="17" s="1"/>
  <c r="K38" i="17"/>
  <c r="R38" i="17" s="1"/>
  <c r="K13" i="17"/>
  <c r="X13" i="17" s="1"/>
  <c r="K15" i="17"/>
  <c r="K22" i="17"/>
  <c r="R22" i="17" s="1"/>
  <c r="K23" i="17"/>
  <c r="R23" i="17" s="1"/>
  <c r="P5" i="17"/>
  <c r="K40" i="17"/>
  <c r="X40" i="17" s="1"/>
  <c r="K8" i="17"/>
  <c r="R8" i="17" s="1"/>
  <c r="K16" i="17"/>
  <c r="K34" i="17"/>
  <c r="R34" i="17" s="1"/>
  <c r="K26" i="17"/>
  <c r="R26" i="17" s="1"/>
  <c r="K36" i="17"/>
  <c r="K7" i="17"/>
  <c r="X7" i="17" s="1"/>
  <c r="K20" i="17"/>
  <c r="K19" i="17"/>
  <c r="X19" i="17" s="1"/>
  <c r="K37" i="17"/>
  <c r="X37" i="17" s="1"/>
  <c r="K32" i="17"/>
  <c r="X32" i="17" s="1"/>
  <c r="K18" i="17"/>
  <c r="W9" i="17"/>
  <c r="K17" i="17"/>
  <c r="K33" i="17"/>
  <c r="R33" i="17" s="1"/>
  <c r="K21" i="17"/>
  <c r="R21" i="17" s="1"/>
  <c r="K5" i="17"/>
  <c r="K29" i="17"/>
  <c r="R29" i="17" s="1"/>
  <c r="K39" i="17"/>
  <c r="G5" i="17"/>
  <c r="K27" i="17"/>
  <c r="R27" i="17" s="1"/>
  <c r="K12" i="17"/>
  <c r="X12" i="17" s="1"/>
  <c r="K14" i="17"/>
  <c r="K25" i="17"/>
  <c r="X25" i="17" s="1"/>
  <c r="G34" i="17"/>
  <c r="K24" i="17"/>
  <c r="X24" i="17" s="1"/>
  <c r="K6" i="17"/>
  <c r="X6" i="17" s="1"/>
  <c r="K31" i="17"/>
  <c r="X31" i="17" s="1"/>
  <c r="K11" i="17"/>
  <c r="R11" i="17" s="1"/>
  <c r="E39" i="17"/>
  <c r="K10" i="17"/>
  <c r="K28" i="17"/>
  <c r="R28" i="17" s="1"/>
  <c r="W6" i="17"/>
  <c r="K9" i="17"/>
  <c r="W13" i="17"/>
  <c r="L12" i="17"/>
  <c r="M12" i="17" s="1"/>
  <c r="N12" i="17" s="1"/>
  <c r="J5" i="17" l="1"/>
  <c r="M31" i="17"/>
  <c r="N31" i="17" s="1"/>
  <c r="T5" i="17"/>
  <c r="G32" i="17"/>
  <c r="J32" i="17" s="1"/>
  <c r="S32" i="17"/>
  <c r="T32" i="17"/>
  <c r="G24" i="17"/>
  <c r="S24" i="17"/>
  <c r="T24" i="17"/>
  <c r="G18" i="17"/>
  <c r="T18" i="17"/>
  <c r="S18" i="17"/>
  <c r="G37" i="17"/>
  <c r="T37" i="17"/>
  <c r="S37" i="17"/>
  <c r="G36" i="17"/>
  <c r="T36" i="17"/>
  <c r="S36" i="17"/>
  <c r="G19" i="17"/>
  <c r="T19" i="17"/>
  <c r="S19" i="17"/>
  <c r="G13" i="17"/>
  <c r="I13" i="17" s="1"/>
  <c r="S13" i="17"/>
  <c r="T13" i="17"/>
  <c r="G11" i="17"/>
  <c r="S11" i="17"/>
  <c r="T11" i="17"/>
  <c r="G22" i="17"/>
  <c r="T22" i="17"/>
  <c r="S22" i="17"/>
  <c r="G28" i="17"/>
  <c r="S28" i="17"/>
  <c r="T28" i="17"/>
  <c r="T7" i="17"/>
  <c r="S7" i="17"/>
  <c r="G29" i="17"/>
  <c r="J29" i="17" s="1"/>
  <c r="T29" i="17"/>
  <c r="T9" i="17"/>
  <c r="S9" i="17"/>
  <c r="G8" i="17"/>
  <c r="T8" i="17"/>
  <c r="S8" i="17"/>
  <c r="G35" i="17"/>
  <c r="S35" i="17"/>
  <c r="T35" i="17"/>
  <c r="G33" i="17"/>
  <c r="S33" i="17"/>
  <c r="T33" i="17"/>
  <c r="G14" i="17"/>
  <c r="S14" i="17"/>
  <c r="T14" i="17"/>
  <c r="G31" i="17"/>
  <c r="T31" i="17"/>
  <c r="G40" i="17"/>
  <c r="I40" i="17" s="1"/>
  <c r="S40" i="17"/>
  <c r="T40" i="17"/>
  <c r="G26" i="17"/>
  <c r="S26" i="17"/>
  <c r="T26" i="17"/>
  <c r="G15" i="17"/>
  <c r="S15" i="17"/>
  <c r="T15" i="17"/>
  <c r="G21" i="17"/>
  <c r="T21" i="17"/>
  <c r="S21" i="17"/>
  <c r="S25" i="17"/>
  <c r="T25" i="17"/>
  <c r="T38" i="17"/>
  <c r="S38" i="17"/>
  <c r="G12" i="17"/>
  <c r="O12" i="17" s="1"/>
  <c r="S12" i="17"/>
  <c r="T12" i="17"/>
  <c r="G39" i="17"/>
  <c r="S39" i="17"/>
  <c r="T39" i="17"/>
  <c r="G6" i="17"/>
  <c r="S6" i="17"/>
  <c r="T6" i="17"/>
  <c r="G17" i="17"/>
  <c r="S17" i="17"/>
  <c r="T17" i="17"/>
  <c r="G27" i="17"/>
  <c r="T27" i="17"/>
  <c r="S27" i="17"/>
  <c r="G30" i="17"/>
  <c r="O30" i="17" s="1"/>
  <c r="S30" i="17"/>
  <c r="T30" i="17"/>
  <c r="S16" i="17"/>
  <c r="T16" i="17"/>
  <c r="G23" i="17"/>
  <c r="T23" i="17"/>
  <c r="S23" i="17"/>
  <c r="G10" i="17"/>
  <c r="T10" i="17"/>
  <c r="S10" i="17"/>
  <c r="M34" i="17"/>
  <c r="N34" i="17" s="1"/>
  <c r="T34" i="17"/>
  <c r="G20" i="17"/>
  <c r="S20" i="17"/>
  <c r="T20" i="17"/>
  <c r="S5" i="17"/>
  <c r="W5" i="17"/>
  <c r="W38" i="17"/>
  <c r="W34" i="17"/>
  <c r="M29" i="17"/>
  <c r="N29" i="17" s="1"/>
  <c r="W20" i="17"/>
  <c r="W28" i="17"/>
  <c r="W16" i="17"/>
  <c r="W40" i="17"/>
  <c r="W22" i="17"/>
  <c r="W31" i="17"/>
  <c r="W23" i="17"/>
  <c r="W36" i="17"/>
  <c r="W33" i="17"/>
  <c r="W21" i="17"/>
  <c r="W8" i="17"/>
  <c r="W30" i="17"/>
  <c r="R31" i="17"/>
  <c r="R9" i="17"/>
  <c r="X9" i="17"/>
  <c r="W27" i="17"/>
  <c r="W17" i="17"/>
  <c r="W39" i="17"/>
  <c r="W25" i="17"/>
  <c r="W26" i="17"/>
  <c r="W29" i="17"/>
  <c r="W32" i="17"/>
  <c r="W14" i="17"/>
  <c r="W7" i="17"/>
  <c r="W12" i="17"/>
  <c r="W35" i="17"/>
  <c r="W18" i="17"/>
  <c r="W37" i="17"/>
  <c r="W15" i="17"/>
  <c r="Q41" i="17"/>
  <c r="P41" i="17"/>
  <c r="R37" i="17"/>
  <c r="X22" i="17"/>
  <c r="R6" i="17"/>
  <c r="W19" i="17"/>
  <c r="R15" i="17"/>
  <c r="W24" i="17"/>
  <c r="R16" i="17"/>
  <c r="R13" i="17"/>
  <c r="L41" i="17"/>
  <c r="X5" i="17"/>
  <c r="W10" i="17"/>
  <c r="X20" i="17"/>
  <c r="X21" i="17"/>
  <c r="R7" i="17"/>
  <c r="X35" i="17"/>
  <c r="O5" i="17"/>
  <c r="E41" i="17"/>
  <c r="I5" i="17"/>
  <c r="X30" i="17"/>
  <c r="J31" i="17"/>
  <c r="I31" i="17"/>
  <c r="O31" i="17"/>
  <c r="I32" i="17"/>
  <c r="O32" i="17"/>
  <c r="J34" i="17"/>
  <c r="I34" i="17"/>
  <c r="O34" i="17"/>
  <c r="X39" i="17"/>
  <c r="R20" i="17"/>
  <c r="R12" i="17"/>
  <c r="I24" i="17"/>
  <c r="X28" i="17"/>
  <c r="R39" i="17"/>
  <c r="K41" i="17"/>
  <c r="R41" i="17" s="1"/>
  <c r="R24" i="17"/>
  <c r="R19" i="17"/>
  <c r="X8" i="17"/>
  <c r="X23" i="17"/>
  <c r="G7" i="17"/>
  <c r="R10" i="17"/>
  <c r="G16" i="17"/>
  <c r="G25" i="17"/>
  <c r="R17" i="17"/>
  <c r="R32" i="17"/>
  <c r="R36" i="17"/>
  <c r="X34" i="17"/>
  <c r="X15" i="17"/>
  <c r="X10" i="17"/>
  <c r="B8" i="15"/>
  <c r="D8" i="15" s="1"/>
  <c r="E8" i="15" s="1"/>
  <c r="R14" i="17"/>
  <c r="X27" i="17"/>
  <c r="X29" i="17"/>
  <c r="X17" i="17"/>
  <c r="R18" i="17"/>
  <c r="G38" i="17"/>
  <c r="X36" i="17"/>
  <c r="X33" i="17"/>
  <c r="X14" i="17"/>
  <c r="X18" i="17"/>
  <c r="X16" i="17"/>
  <c r="R40" i="17"/>
  <c r="G9" i="17"/>
  <c r="R25" i="17"/>
  <c r="R5" i="17"/>
  <c r="X26" i="17"/>
  <c r="X11" i="17"/>
  <c r="X38" i="17"/>
  <c r="O24" i="17"/>
  <c r="J40" i="17" l="1"/>
  <c r="O29" i="17"/>
  <c r="O40" i="17"/>
  <c r="I29" i="17"/>
  <c r="I12" i="17"/>
  <c r="I20" i="17"/>
  <c r="O10" i="17"/>
  <c r="O23" i="17"/>
  <c r="J30" i="17"/>
  <c r="O27" i="17"/>
  <c r="J17" i="17"/>
  <c r="I6" i="17"/>
  <c r="J39" i="17"/>
  <c r="J12" i="17"/>
  <c r="I21" i="17"/>
  <c r="J15" i="17"/>
  <c r="I26" i="17"/>
  <c r="I14" i="17"/>
  <c r="O33" i="17"/>
  <c r="O35" i="17"/>
  <c r="J8" i="17"/>
  <c r="O28" i="17"/>
  <c r="I22" i="17"/>
  <c r="O11" i="17"/>
  <c r="J13" i="17"/>
  <c r="I19" i="17"/>
  <c r="O36" i="17"/>
  <c r="I37" i="17"/>
  <c r="I18" i="17"/>
  <c r="J24" i="17"/>
  <c r="I30" i="17"/>
  <c r="O13" i="17"/>
  <c r="J18" i="17"/>
  <c r="I11" i="17"/>
  <c r="O18" i="17"/>
  <c r="O8" i="17"/>
  <c r="J11" i="17"/>
  <c r="I8" i="17"/>
  <c r="J35" i="17"/>
  <c r="J22" i="17"/>
  <c r="O22" i="17"/>
  <c r="I39" i="17"/>
  <c r="I35" i="17"/>
  <c r="O39" i="17"/>
  <c r="O26" i="17"/>
  <c r="J26" i="17"/>
  <c r="M41" i="17"/>
  <c r="J33" i="17"/>
  <c r="J6" i="17"/>
  <c r="J10" i="17"/>
  <c r="I28" i="17"/>
  <c r="S31" i="17"/>
  <c r="J28" i="17"/>
  <c r="I15" i="17"/>
  <c r="O37" i="17"/>
  <c r="I33" i="17"/>
  <c r="S29" i="17"/>
  <c r="S34" i="17"/>
  <c r="J27" i="17"/>
  <c r="J20" i="17"/>
  <c r="O20" i="17"/>
  <c r="I27" i="17"/>
  <c r="O6" i="17"/>
  <c r="J23" i="17"/>
  <c r="I23" i="17"/>
  <c r="O21" i="17"/>
  <c r="J21" i="17"/>
  <c r="J14" i="17"/>
  <c r="I10" i="17"/>
  <c r="O19" i="17"/>
  <c r="I36" i="17"/>
  <c r="J37" i="17"/>
  <c r="O15" i="17"/>
  <c r="O17" i="17"/>
  <c r="J36" i="17"/>
  <c r="J19" i="17"/>
  <c r="O14" i="17"/>
  <c r="I17" i="17"/>
  <c r="W41" i="17"/>
  <c r="X41" i="17"/>
  <c r="I38" i="17"/>
  <c r="J38" i="17"/>
  <c r="O38" i="17"/>
  <c r="O25" i="17"/>
  <c r="J25" i="17"/>
  <c r="I25" i="17"/>
  <c r="G41" i="17"/>
  <c r="J41" i="17" s="1"/>
  <c r="I16" i="17"/>
  <c r="J16" i="17"/>
  <c r="O16" i="17"/>
  <c r="O9" i="17"/>
  <c r="J9" i="17"/>
  <c r="I9" i="17"/>
  <c r="J7" i="17"/>
  <c r="O7" i="17"/>
  <c r="I7" i="17"/>
  <c r="N41" i="17" l="1"/>
  <c r="I41" i="17"/>
  <c r="O41" i="17"/>
  <c r="I15" i="25" l="1"/>
  <c r="G15" i="25"/>
  <c r="I29" i="25"/>
  <c r="G29" i="25"/>
  <c r="F44" i="25" l="1"/>
  <c r="Q8" i="25"/>
  <c r="I39" i="25"/>
  <c r="G39" i="25"/>
  <c r="I12" i="25"/>
  <c r="G12" i="25"/>
  <c r="I38" i="25"/>
  <c r="G38" i="25"/>
  <c r="I24" i="25"/>
  <c r="G24" i="25"/>
  <c r="I31" i="25"/>
  <c r="G31" i="25"/>
  <c r="I20" i="25"/>
  <c r="G20" i="25"/>
  <c r="I7" i="25"/>
  <c r="G7" i="25"/>
  <c r="I22" i="25"/>
  <c r="G22" i="25"/>
  <c r="I35" i="25"/>
  <c r="G35" i="25"/>
  <c r="I40" i="25"/>
  <c r="G40" i="25"/>
  <c r="I28" i="25"/>
  <c r="G28" i="25"/>
  <c r="I36" i="25"/>
  <c r="G36" i="25"/>
  <c r="I27" i="25"/>
  <c r="G27" i="25"/>
  <c r="I19" i="25"/>
  <c r="G19" i="25"/>
  <c r="I41" i="25"/>
  <c r="G41" i="25"/>
  <c r="G32" i="25"/>
  <c r="I32" i="25"/>
  <c r="I42" i="25"/>
  <c r="G42" i="25"/>
  <c r="I43" i="25"/>
  <c r="G43" i="25"/>
  <c r="I21" i="25"/>
  <c r="G21" i="25"/>
  <c r="Q9" i="25"/>
  <c r="I18" i="25"/>
  <c r="G18" i="25"/>
  <c r="I23" i="25"/>
  <c r="G23" i="25"/>
  <c r="G9" i="25"/>
  <c r="I9" i="25"/>
  <c r="I8" i="25"/>
  <c r="G8" i="25"/>
  <c r="I10" i="25"/>
  <c r="G10" i="25"/>
  <c r="I11" i="25"/>
  <c r="G11" i="25"/>
  <c r="I30" i="25"/>
  <c r="G30" i="25"/>
  <c r="I26" i="25"/>
  <c r="G26" i="25"/>
  <c r="I34" i="25"/>
  <c r="G34" i="25"/>
  <c r="I33" i="25"/>
  <c r="G33" i="25"/>
  <c r="G13" i="25"/>
  <c r="I13" i="25"/>
  <c r="G14" i="25"/>
  <c r="I14" i="25"/>
  <c r="G6" i="25"/>
  <c r="E44" i="25"/>
  <c r="I6" i="25"/>
  <c r="G25" i="25"/>
  <c r="I25" i="25"/>
  <c r="I37" i="25"/>
  <c r="G37" i="25"/>
  <c r="S8" i="25" l="1"/>
  <c r="S9" i="25"/>
  <c r="G44" i="25"/>
  <c r="R8" i="25"/>
  <c r="R9" i="25"/>
</calcChain>
</file>

<file path=xl/sharedStrings.xml><?xml version="1.0" encoding="utf-8"?>
<sst xmlns="http://schemas.openxmlformats.org/spreadsheetml/2006/main" count="2505" uniqueCount="498">
  <si>
    <t>Row Labels</t>
  </si>
  <si>
    <t>Course Offerings</t>
  </si>
  <si>
    <t>Planned Quotas</t>
  </si>
  <si>
    <t>Quota Need</t>
  </si>
  <si>
    <t>Afloat Environmental Protection Coordinator</t>
  </si>
  <si>
    <t xml:space="preserve">Afloat Environmental Protection Coordinator Global Online </t>
  </si>
  <si>
    <t>Asbestos Inspector</t>
  </si>
  <si>
    <t>Asbestos Inspector Refresher</t>
  </si>
  <si>
    <t xml:space="preserve">Asbestos Management Planner </t>
  </si>
  <si>
    <t>Asbestos Management Planner Refresher</t>
  </si>
  <si>
    <t>Asbestos Supervisor Initial</t>
  </si>
  <si>
    <t>Asbestos Supervisor Refresher</t>
  </si>
  <si>
    <t>Aviation Safety Specialist Global Online</t>
  </si>
  <si>
    <t>Competent Person for Fall Protection Course Afloat</t>
  </si>
  <si>
    <t>Confined Space Safety</t>
  </si>
  <si>
    <t>Construction Safety Standards</t>
  </si>
  <si>
    <t>Emergency Asbestos Response Team</t>
  </si>
  <si>
    <t>Facility Response Team (FRT) Five Day</t>
  </si>
  <si>
    <t>Facility Response Team (FRT) Three Day</t>
  </si>
  <si>
    <t>Fall Protection Program Manager Course (Global Online)</t>
  </si>
  <si>
    <t>Fire Protection and Life Safety</t>
  </si>
  <si>
    <t>General Industry Safety Standards</t>
  </si>
  <si>
    <t>Hazardous Material Control and Management [HMC&amp;M] Technician Global Online</t>
  </si>
  <si>
    <t>Hazardous Substance Incident Response Management (HSIRM)</t>
  </si>
  <si>
    <t>Hazardous Substance Incident Response Management (HSIRM) Refresher</t>
  </si>
  <si>
    <t>Incident Command System 300 (ICS 300)</t>
  </si>
  <si>
    <t>Incident Command System 300 (ICS 300) Refresher</t>
  </si>
  <si>
    <t>Incident Command System 400 (ICS 400)</t>
  </si>
  <si>
    <t>Industrial Noise</t>
  </si>
  <si>
    <t>Introduction to Hazardous Materials [Ashore] Global Online</t>
  </si>
  <si>
    <t>Introduction to Industrial Hygiene for Safety Professionals</t>
  </si>
  <si>
    <t>Introduction to Industrial Hygiene for Safety Professionals Global Online</t>
  </si>
  <si>
    <t>Introduction to Naval Safety and Occupational Health [Ashore] Global Online</t>
  </si>
  <si>
    <t>Mishap Investigation</t>
  </si>
  <si>
    <t>Navy Ergonomics Program (Global Online)</t>
  </si>
  <si>
    <t>Oil Hazardous Substance Spill Response Tabletop Exercise (OHS TTX)</t>
  </si>
  <si>
    <t>Operational Risk Mangement Application &amp; Integration Global Online</t>
  </si>
  <si>
    <t>Placeholder</t>
  </si>
  <si>
    <t>Respiratory Protection Program Management</t>
  </si>
  <si>
    <t>Safety Programs Afloat Global Online</t>
  </si>
  <si>
    <t xml:space="preserve">Tank Managers </t>
  </si>
  <si>
    <t>Grand Total</t>
  </si>
  <si>
    <t>Last Update</t>
  </si>
  <si>
    <t>Courses - Planned vs Need (Active Courses)</t>
  </si>
  <si>
    <t>Contractor</t>
  </si>
  <si>
    <t>Department</t>
  </si>
  <si>
    <t>Quota per Offering</t>
  </si>
  <si>
    <t>Difference</t>
  </si>
  <si>
    <t>%</t>
  </si>
  <si>
    <t>ENV</t>
  </si>
  <si>
    <t>IH</t>
  </si>
  <si>
    <t>FS</t>
  </si>
  <si>
    <t>Competent Person for Fall Protection Course</t>
  </si>
  <si>
    <t>y</t>
  </si>
  <si>
    <t>SOH</t>
  </si>
  <si>
    <t>Machinery and Machine Guarding Standards</t>
  </si>
  <si>
    <t>Submarine Safety Officer Global Online</t>
  </si>
  <si>
    <t>NSC</t>
  </si>
  <si>
    <t>Total</t>
  </si>
  <si>
    <t>Courses Needed (Inactive Courses)</t>
  </si>
  <si>
    <t>Column1</t>
  </si>
  <si>
    <t>Column2</t>
  </si>
  <si>
    <t>Active Online</t>
  </si>
  <si>
    <t>Submarine Safety Officer Resident</t>
  </si>
  <si>
    <t>Yes</t>
  </si>
  <si>
    <t>Introduction to Naval Safety and Occupational Health [Ashore] Resident</t>
  </si>
  <si>
    <t>Aviation Safety Specialist Resident</t>
  </si>
  <si>
    <t>Introduction to Industrial Hygiene for Safety Professionals Resident</t>
  </si>
  <si>
    <t>Basic Lase Safety Officer (BLSO)</t>
  </si>
  <si>
    <t>No</t>
  </si>
  <si>
    <t>Electrical Standards</t>
  </si>
  <si>
    <t>Hazardous Material Control and Management [HMC&amp;M] Resident</t>
  </si>
  <si>
    <t>Safety Programs Afloat Resident</t>
  </si>
  <si>
    <t xml:space="preserve"> </t>
  </si>
  <si>
    <t>Instructor</t>
  </si>
  <si>
    <t>Primary Instructor</t>
  </si>
  <si>
    <t>Instructor 2</t>
  </si>
  <si>
    <t>Percentage in Classroom</t>
  </si>
  <si>
    <t>ENV Contractor</t>
  </si>
  <si>
    <t>LSC Jarvis</t>
  </si>
  <si>
    <t>T. White</t>
  </si>
  <si>
    <t>B. Jung</t>
  </si>
  <si>
    <t>EMC Servatico</t>
  </si>
  <si>
    <t xml:space="preserve">LSC Rouse </t>
  </si>
  <si>
    <t>W. Mitchell</t>
  </si>
  <si>
    <t>D. Rodriguez</t>
  </si>
  <si>
    <t>B. Winslow</t>
  </si>
  <si>
    <t>LTJG Houston</t>
  </si>
  <si>
    <t>V. Kentish</t>
  </si>
  <si>
    <t>BMC Sosaya</t>
  </si>
  <si>
    <t>A. Harris</t>
  </si>
  <si>
    <t>J. Hayes</t>
  </si>
  <si>
    <t>S. Griffin</t>
  </si>
  <si>
    <t>A. Evans</t>
  </si>
  <si>
    <t>SOH Contractor</t>
  </si>
  <si>
    <t>IH Contractor</t>
  </si>
  <si>
    <t>D. Chin Loy</t>
  </si>
  <si>
    <t>Course Title</t>
  </si>
  <si>
    <t>(All)</t>
  </si>
  <si>
    <t>Count of Location</t>
  </si>
  <si>
    <t>Andros, Bahamas (AUTEC)</t>
  </si>
  <si>
    <t>Annapolis, MD</t>
  </si>
  <si>
    <t>Atsugi, Japan</t>
  </si>
  <si>
    <t>Bangor, WA</t>
  </si>
  <si>
    <t>Bremerton, WA</t>
  </si>
  <si>
    <t>MCAS Cherry Point, NC</t>
  </si>
  <si>
    <t>China Lake, CA</t>
  </si>
  <si>
    <t>Chinhae, Korea</t>
  </si>
  <si>
    <t>Colts Neck, NJ</t>
  </si>
  <si>
    <t>Coronado, CA</t>
  </si>
  <si>
    <t>Corpus Christi, TX</t>
  </si>
  <si>
    <t>Crane, IN</t>
  </si>
  <si>
    <t>Deveselu, Romania</t>
  </si>
  <si>
    <t>Diego Garcia</t>
  </si>
  <si>
    <t>Djibouti, Africa</t>
  </si>
  <si>
    <t>Everett, WA</t>
  </si>
  <si>
    <t>Global Online</t>
  </si>
  <si>
    <t>Great Lakes, IL</t>
  </si>
  <si>
    <t>Groton, CT</t>
  </si>
  <si>
    <t>Guantanamo Bay, Cuba</t>
  </si>
  <si>
    <t>Gulfport, MS</t>
  </si>
  <si>
    <t>Indian Head, MD</t>
  </si>
  <si>
    <t>Indian Island, WA</t>
  </si>
  <si>
    <t>ISA, UAE</t>
  </si>
  <si>
    <t>Jacksonville, FL</t>
  </si>
  <si>
    <t>Kekaha, HI</t>
  </si>
  <si>
    <t>Key West, FL</t>
  </si>
  <si>
    <t xml:space="preserve">Keyport, WA </t>
  </si>
  <si>
    <t>Kingsbay, GA</t>
  </si>
  <si>
    <t xml:space="preserve">Kingsbay, GA </t>
  </si>
  <si>
    <t>Kingsvile, TX</t>
  </si>
  <si>
    <t>Lemoore, CA</t>
  </si>
  <si>
    <t>Little Creek - Ft Story, VA</t>
  </si>
  <si>
    <t>Mayport, FL</t>
  </si>
  <si>
    <t>Mid South, TN</t>
  </si>
  <si>
    <t>Naples, Italy</t>
  </si>
  <si>
    <t>Naval Base Guam</t>
  </si>
  <si>
    <t>New London, CT</t>
  </si>
  <si>
    <t>New Orleans, LA</t>
  </si>
  <si>
    <t>Newport, RI</t>
  </si>
  <si>
    <t>Norfolk, VA Classroom 1</t>
  </si>
  <si>
    <t>Norfolk, VA Classroom 2</t>
  </si>
  <si>
    <t>NSA, Bahrain</t>
  </si>
  <si>
    <t>Okinawa, Japan</t>
  </si>
  <si>
    <t>Panama City, FL</t>
  </si>
  <si>
    <t>Patuxent River, MD</t>
  </si>
  <si>
    <t>Pax River, MD</t>
  </si>
  <si>
    <t>Pearl Harbor, HI</t>
  </si>
  <si>
    <t>Pensacola, FL</t>
  </si>
  <si>
    <t>Philadelphia, PA</t>
  </si>
  <si>
    <t>Port Hueneme, CA</t>
  </si>
  <si>
    <t>Portsmouth, NH</t>
  </si>
  <si>
    <t>Redzikowk, Poland</t>
  </si>
  <si>
    <t>Rota, Spain</t>
  </si>
  <si>
    <t>San Clemente Island, CA</t>
  </si>
  <si>
    <t>San Diego, CA</t>
  </si>
  <si>
    <t>Sasebo, Japan</t>
  </si>
  <si>
    <t>Seal Beach, CA</t>
  </si>
  <si>
    <t>Sigonella, Italy</t>
  </si>
  <si>
    <t>Singapore</t>
  </si>
  <si>
    <t>Souda Bay, Greece</t>
  </si>
  <si>
    <t>Support Facility Diego Garcia</t>
  </si>
  <si>
    <t>Virginia Beach, VA (LITTLE CREEK)</t>
  </si>
  <si>
    <t>Virginia Beach, VA (OCEANA)</t>
  </si>
  <si>
    <t>Washington, DC</t>
  </si>
  <si>
    <t>Whidbey Island, WA</t>
  </si>
  <si>
    <t>Yokosuka, Japan</t>
  </si>
  <si>
    <t>CIN</t>
  </si>
  <si>
    <t>CDP</t>
  </si>
  <si>
    <t>Quotas</t>
  </si>
  <si>
    <t>Days</t>
  </si>
  <si>
    <t>Instructor #1</t>
  </si>
  <si>
    <t>Instructor #2</t>
  </si>
  <si>
    <t>Instructor #3</t>
  </si>
  <si>
    <t>Format</t>
  </si>
  <si>
    <t>Location</t>
  </si>
  <si>
    <t>Live Session Start Time ET</t>
  </si>
  <si>
    <t>Roster Received By</t>
  </si>
  <si>
    <t>Afloat Environmental Protection Coordinator (Resident)</t>
  </si>
  <si>
    <t xml:space="preserve"> A-4J-0021</t>
  </si>
  <si>
    <t xml:space="preserve"> 430U</t>
  </si>
  <si>
    <t xml:space="preserve">A. Fleming </t>
  </si>
  <si>
    <t>Andros, Bahamas</t>
  </si>
  <si>
    <t>ABE3 Park</t>
  </si>
  <si>
    <t xml:space="preserve">Afloat Environmental Protection Coordinator (Global Online) </t>
  </si>
  <si>
    <t>A-4J-0022</t>
  </si>
  <si>
    <t>09ER</t>
  </si>
  <si>
    <t>K. Seo</t>
  </si>
  <si>
    <t>Resident</t>
  </si>
  <si>
    <t>Bearup, Angie</t>
  </si>
  <si>
    <t>A-493-0014</t>
  </si>
  <si>
    <t>Benzick, Sue</t>
  </si>
  <si>
    <t>A-493-0015</t>
  </si>
  <si>
    <t>Baltimore, MD</t>
  </si>
  <si>
    <t>Carter, Amanda</t>
  </si>
  <si>
    <t>A-493-0019</t>
  </si>
  <si>
    <t>EMN2 Stowe</t>
  </si>
  <si>
    <t>A-493-0020</t>
  </si>
  <si>
    <t>CDR Schaal</t>
  </si>
  <si>
    <t>Bath, ME</t>
  </si>
  <si>
    <t>Liberty, Frank</t>
  </si>
  <si>
    <t>A-493-0069</t>
  </si>
  <si>
    <t>450U</t>
  </si>
  <si>
    <t>LT Houston</t>
  </si>
  <si>
    <t xml:space="preserve">OS2 Zapata </t>
  </si>
  <si>
    <t>A-493-0070</t>
  </si>
  <si>
    <t>450V</t>
  </si>
  <si>
    <t>Beaufort, SC</t>
  </si>
  <si>
    <t>Weaver, Nicole</t>
  </si>
  <si>
    <t>Aviation Safety Specialist</t>
  </si>
  <si>
    <t>A-493-0065</t>
  </si>
  <si>
    <t>399A</t>
  </si>
  <si>
    <t>Vacant</t>
  </si>
  <si>
    <t>Camp Butler, Japan</t>
  </si>
  <si>
    <t>ABH3 Sutherland</t>
  </si>
  <si>
    <t xml:space="preserve">Aviation Safety Specialist (Global Online) </t>
  </si>
  <si>
    <t>A-493-0665</t>
  </si>
  <si>
    <t>10KW</t>
  </si>
  <si>
    <t>Camp Lejeune, NC</t>
  </si>
  <si>
    <t>A-493-0030</t>
  </si>
  <si>
    <t>286X</t>
  </si>
  <si>
    <t>Camp Pendleton, CA</t>
  </si>
  <si>
    <t>A-493-0021</t>
  </si>
  <si>
    <t>18BN</t>
  </si>
  <si>
    <t>LTJG Andrew</t>
  </si>
  <si>
    <t>Cherry Point, NC</t>
  </si>
  <si>
    <t>A-493-0033</t>
  </si>
  <si>
    <t>287A</t>
  </si>
  <si>
    <t>LCDR Overton</t>
  </si>
  <si>
    <t>A-760-2166</t>
  </si>
  <si>
    <t>438J</t>
  </si>
  <si>
    <t>LT. Bozenski</t>
  </si>
  <si>
    <t>A-493-0012</t>
  </si>
  <si>
    <t>A-493-0013</t>
  </si>
  <si>
    <t>A-493-0099</t>
  </si>
  <si>
    <t>12JW</t>
  </si>
  <si>
    <t>Competent Person for Fall Protection Course (Resident)</t>
  </si>
  <si>
    <t>A-493-0103</t>
  </si>
  <si>
    <t>12JY</t>
  </si>
  <si>
    <t xml:space="preserve">Competent Person for Fall Protection Course (Global Online) </t>
  </si>
  <si>
    <t xml:space="preserve">A-493-0075 </t>
  </si>
  <si>
    <t>714U</t>
  </si>
  <si>
    <t xml:space="preserve">General Industry Safety Standards (Global Online) </t>
  </si>
  <si>
    <t>A-493-0061</t>
  </si>
  <si>
    <t>288E</t>
  </si>
  <si>
    <t>Hazardous Material Control and Management [HMC&amp;M] Technician (Resident)</t>
  </si>
  <si>
    <t>A-322-2600</t>
  </si>
  <si>
    <t>438D</t>
  </si>
  <si>
    <t>Hazardous Material Control and Management [HMC&amp;M] Technician (Global Online)</t>
  </si>
  <si>
    <t>A-322-2604</t>
  </si>
  <si>
    <t>10ZZ</t>
  </si>
  <si>
    <t>Guam</t>
  </si>
  <si>
    <t>A-493-0077</t>
  </si>
  <si>
    <t>0381</t>
  </si>
  <si>
    <t>A-493-0083</t>
  </si>
  <si>
    <t>339E</t>
  </si>
  <si>
    <t>A-493-2300</t>
  </si>
  <si>
    <t>993F</t>
  </si>
  <si>
    <t>Hachinohe, Japan</t>
  </si>
  <si>
    <t>A-493-2301</t>
  </si>
  <si>
    <t>05ZD</t>
  </si>
  <si>
    <t>TBD</t>
  </si>
  <si>
    <t>Hakozaki, Japan</t>
  </si>
  <si>
    <t>A-493-0216</t>
  </si>
  <si>
    <t>12X8</t>
  </si>
  <si>
    <t>A-493-0092</t>
  </si>
  <si>
    <t xml:space="preserve">Introduction to Hazardous Materials [Ashore] (Global Online) </t>
  </si>
  <si>
    <t>A-493-0331</t>
  </si>
  <si>
    <t>10UG</t>
  </si>
  <si>
    <t>Iwakuni, Japan</t>
  </si>
  <si>
    <t xml:space="preserve">Introduction to Industrial Hygiene for Safety Professionals (Global Online) </t>
  </si>
  <si>
    <t>A-493-0335</t>
  </si>
  <si>
    <t>09ND</t>
  </si>
  <si>
    <t>Introduction to Industrial Hygiene for Safety Professionals (Resident)</t>
  </si>
  <si>
    <t>A-493-0035</t>
  </si>
  <si>
    <t>287C</t>
  </si>
  <si>
    <t xml:space="preserve">Introduction to Naval Safety and Occupational Health (Global Online) </t>
  </si>
  <si>
    <t>A-493-0550</t>
  </si>
  <si>
    <t>09K5</t>
  </si>
  <si>
    <t>Kings Bay, GA</t>
  </si>
  <si>
    <t>Introduction to Naval Safety and Occupational Health (Resident)</t>
  </si>
  <si>
    <t>A-493-0050</t>
  </si>
  <si>
    <t>287T</t>
  </si>
  <si>
    <t>Kingsville, TX</t>
  </si>
  <si>
    <t xml:space="preserve">Machinery and Machine Guarding Standards (Global Online) </t>
  </si>
  <si>
    <t>A-493-0073</t>
  </si>
  <si>
    <t>714S</t>
  </si>
  <si>
    <t xml:space="preserve">Mishap Investigation (Global Online) </t>
  </si>
  <si>
    <t>A-493-0078</t>
  </si>
  <si>
    <t>Little Creek, VA</t>
  </si>
  <si>
    <t xml:space="preserve">NAVOSH Assessment Tools &amp; Strategies (Global Online) </t>
  </si>
  <si>
    <t>A-493-0889</t>
  </si>
  <si>
    <t>11C5</t>
  </si>
  <si>
    <t>Manchester, WA</t>
  </si>
  <si>
    <t>A-493-0085</t>
  </si>
  <si>
    <t>MARFORRES</t>
  </si>
  <si>
    <t>A-493-2501</t>
  </si>
  <si>
    <t>05ZE</t>
  </si>
  <si>
    <t>Marianas</t>
  </si>
  <si>
    <t>Operational Risk Management Application &amp; Integration (Global Online)</t>
  </si>
  <si>
    <t>A-570-0100</t>
  </si>
  <si>
    <t>18B7</t>
  </si>
  <si>
    <t>Marine Corps Base Hawaii</t>
  </si>
  <si>
    <t>A-493-0072</t>
  </si>
  <si>
    <t>713U</t>
  </si>
  <si>
    <t>Safety Managers Course</t>
  </si>
  <si>
    <t>A-4J-0019</t>
  </si>
  <si>
    <t>28SL/285M</t>
  </si>
  <si>
    <t>Misawa, Japan</t>
  </si>
  <si>
    <t>Safety Programs Afloat (Resident)</t>
  </si>
  <si>
    <t>A-493-2099</t>
  </si>
  <si>
    <t>438G</t>
  </si>
  <si>
    <t xml:space="preserve">Safety Programs Afloat (Global Online) </t>
  </si>
  <si>
    <t>A-493-2098</t>
  </si>
  <si>
    <t>09WW</t>
  </si>
  <si>
    <t>NAVFAC Midlant</t>
  </si>
  <si>
    <t xml:space="preserve">Staff Training </t>
  </si>
  <si>
    <t>Staff</t>
  </si>
  <si>
    <t>Submarine Safety Officer</t>
  </si>
  <si>
    <t>F-4J-0020</t>
  </si>
  <si>
    <t>961Z</t>
  </si>
  <si>
    <t xml:space="preserve">Submarine Safety Officer (Global Online) </t>
  </si>
  <si>
    <t>F-4J-0023</t>
  </si>
  <si>
    <t>11A2</t>
  </si>
  <si>
    <t>A-493-2017</t>
  </si>
  <si>
    <t>12x3</t>
  </si>
  <si>
    <t>Norfolk Naval Shipyard</t>
  </si>
  <si>
    <t>Professional Development Symposium</t>
  </si>
  <si>
    <t>PDS</t>
  </si>
  <si>
    <t>Norfolk, VA</t>
  </si>
  <si>
    <t>Holiday</t>
  </si>
  <si>
    <t>Classroom Reserved</t>
  </si>
  <si>
    <t>NA</t>
  </si>
  <si>
    <t>Command Function</t>
  </si>
  <si>
    <t>Norfolk, VA Other</t>
  </si>
  <si>
    <t>Oceanan,VA</t>
  </si>
  <si>
    <t>Ownings Mills, MD</t>
  </si>
  <si>
    <t>PMRF Barking Sands</t>
  </si>
  <si>
    <t>Point Loma, CA</t>
  </si>
  <si>
    <t>Point Mugu, CA</t>
  </si>
  <si>
    <t>Portsmouth, MA</t>
  </si>
  <si>
    <t>Portsmouth, VA</t>
  </si>
  <si>
    <t>Puget Sound Manchester, WA</t>
  </si>
  <si>
    <t>Puget Sound, WA</t>
  </si>
  <si>
    <t>Quantico, VA</t>
  </si>
  <si>
    <t>Sam Houston, TX</t>
  </si>
  <si>
    <t>San Nicolas Island, CA</t>
  </si>
  <si>
    <t>Saratoga Springs, NY</t>
  </si>
  <si>
    <t>Tinker AFB, OK</t>
  </si>
  <si>
    <t>Tsurumi, Japan</t>
  </si>
  <si>
    <t>Twentynice Palms, CA</t>
  </si>
  <si>
    <t>Ventura County, CA</t>
  </si>
  <si>
    <t xml:space="preserve">Virginia Beach, VA </t>
  </si>
  <si>
    <t>White Sands, NM</t>
  </si>
  <si>
    <t>Whiting Field, FL</t>
  </si>
  <si>
    <t>Yorktown, VA</t>
  </si>
  <si>
    <t>Yuma, AZ</t>
  </si>
  <si>
    <t>Last Modified</t>
  </si>
  <si>
    <t>Start of the FY 24</t>
  </si>
  <si>
    <t>Progress during FY 24</t>
  </si>
  <si>
    <t>Info</t>
  </si>
  <si>
    <t>CTR</t>
  </si>
  <si>
    <t>Dept</t>
  </si>
  <si>
    <t>Fleet Quota Need</t>
  </si>
  <si>
    <t>Total Grads</t>
  </si>
  <si>
    <t>No Shows</t>
  </si>
  <si>
    <t>To date quotas unused (Open quotas+ no shows)</t>
  </si>
  <si>
    <t>Sunk Courses due to unused quotas todate</t>
  </si>
  <si>
    <t>Grads needed this FY towards planned quotas</t>
  </si>
  <si>
    <t># of course completion reports to be processed</t>
  </si>
  <si>
    <t># of courses remaining</t>
  </si>
  <si>
    <t>To date % of graduates towards Fleet Need</t>
  </si>
  <si>
    <t>% of available quotas used</t>
  </si>
  <si>
    <t>% of available quotas used counting in no shows</t>
  </si>
  <si>
    <t>Remaining Open Quotas FY24 QTR 3</t>
  </si>
  <si>
    <t>Remaining Open Quotas FY24 QTR 4</t>
  </si>
  <si>
    <t># of additional grads if all quotas are filled of course results remaining to be processed</t>
  </si>
  <si>
    <t>Difference between completed and fleet need of completed, potentially remaining quotas, and processed courses</t>
  </si>
  <si>
    <t>Comments</t>
  </si>
  <si>
    <t>To-Date Course Information Based on Processed Rosters</t>
  </si>
  <si>
    <t>Course Offerings Todate</t>
  </si>
  <si>
    <t>Online</t>
  </si>
  <si>
    <t>Quotas Per Convening</t>
  </si>
  <si>
    <t>Quotas Provided</t>
  </si>
  <si>
    <t>Quotas Used</t>
  </si>
  <si>
    <t>Fails</t>
  </si>
  <si>
    <t>Walk-ins</t>
  </si>
  <si>
    <t>EEM</t>
  </si>
  <si>
    <t>Course Type</t>
  </si>
  <si>
    <r>
      <rPr>
        <b/>
        <sz val="10"/>
        <color rgb="FF000000"/>
        <rFont val="Calibri"/>
      </rPr>
      <t xml:space="preserve">Quotas Used </t>
    </r>
    <r>
      <rPr>
        <b/>
        <sz val="8"/>
        <color rgb="FF000000"/>
        <rFont val="Calibri"/>
      </rPr>
      <t>(Grads, Fails, No-Shows)</t>
    </r>
  </si>
  <si>
    <t>Grads</t>
  </si>
  <si>
    <t>% Grads</t>
  </si>
  <si>
    <t>%Fails</t>
  </si>
  <si>
    <t>No-Show</t>
  </si>
  <si>
    <t>%No-Shows</t>
  </si>
  <si>
    <t>Walk-in</t>
  </si>
  <si>
    <t>%Walk-in</t>
  </si>
  <si>
    <t>Safety</t>
  </si>
  <si>
    <t>(Multiple Items)</t>
  </si>
  <si>
    <t>Sum of Quotas</t>
  </si>
  <si>
    <t>Sum of Graduates</t>
  </si>
  <si>
    <t>Sum of Fail</t>
  </si>
  <si>
    <t>Sum of No Shows</t>
  </si>
  <si>
    <t>1. Click ^^^</t>
  </si>
  <si>
    <t>Grads+Fails</t>
  </si>
  <si>
    <t>Grads+Fails+NoShows</t>
  </si>
  <si>
    <t xml:space="preserve">CDP </t>
  </si>
  <si>
    <t>Start Date</t>
  </si>
  <si>
    <t>End Date</t>
  </si>
  <si>
    <t>Resident Local Start Time of location</t>
  </si>
  <si>
    <t xml:space="preserve">EST/EDT Local Live Session Start Time </t>
  </si>
  <si>
    <t xml:space="preserve">PST/PDT Local Live Session Start Time </t>
  </si>
  <si>
    <t xml:space="preserve">AST Local Live Session Start Time </t>
  </si>
  <si>
    <t xml:space="preserve">CET/CEST Local Live Session Start Time </t>
  </si>
  <si>
    <t xml:space="preserve">HST Local Live Session Start Time </t>
  </si>
  <si>
    <t xml:space="preserve">JST Local Live Session Start Time </t>
  </si>
  <si>
    <t>Course Length (Days)</t>
  </si>
  <si>
    <t>Graduates</t>
  </si>
  <si>
    <t>Fail</t>
  </si>
  <si>
    <t>Foreign Grads</t>
  </si>
  <si>
    <t>Roster Due</t>
  </si>
  <si>
    <t>Roster Status</t>
  </si>
  <si>
    <t>Remaining Courses</t>
  </si>
  <si>
    <t>cancelled on 4 OCT</t>
  </si>
  <si>
    <t>Norfolk, VA Bldg SP-17</t>
  </si>
  <si>
    <t>Cancelled on 13 OCT</t>
  </si>
  <si>
    <t>Confined Space</t>
  </si>
  <si>
    <t>Canceled on 20 Sept</t>
  </si>
  <si>
    <t>Cancelled on 16 Oct</t>
  </si>
  <si>
    <t>Canceled on 12 Sept</t>
  </si>
  <si>
    <t>Cancelled on 5 OCT</t>
  </si>
  <si>
    <t>Cancelled on 17 Oct</t>
  </si>
  <si>
    <t>USMC</t>
  </si>
  <si>
    <t>cancelled 3 JAN</t>
  </si>
  <si>
    <t>cancelled 14 DEC</t>
  </si>
  <si>
    <t>NAVSUP FLC Yokosuka – Sasebo, Japan</t>
  </si>
  <si>
    <t>4/11/20224</t>
  </si>
  <si>
    <t>Guantonimo Bay, Cuba</t>
  </si>
  <si>
    <t>Canceled on 14 Sept</t>
  </si>
  <si>
    <t>Cancelled 4Jan</t>
  </si>
  <si>
    <t>Cancelled 17JAN</t>
  </si>
  <si>
    <t>Cancelled 19JAN</t>
  </si>
  <si>
    <t>Cancelled 2FEB</t>
  </si>
  <si>
    <t>Cancelled 5 FEB</t>
  </si>
  <si>
    <t>Jacksonville</t>
  </si>
  <si>
    <t>cancelled 6 FEB</t>
  </si>
  <si>
    <t>cancelled FEB 7th</t>
  </si>
  <si>
    <t>cancelled 9 FEB low enroll</t>
  </si>
  <si>
    <t>cancelled 23 FEB low enroll</t>
  </si>
  <si>
    <t>05zd</t>
  </si>
  <si>
    <t>USMC- CANCELLED 6 MAR</t>
  </si>
  <si>
    <t>cancelled 19 MAR</t>
  </si>
  <si>
    <t>Moved to 13-16 AUG 2024</t>
  </si>
  <si>
    <t>cancelled on April 4</t>
  </si>
  <si>
    <t>cancelled on Arpil 4</t>
  </si>
  <si>
    <t>Survey</t>
  </si>
  <si>
    <t>Survey Results</t>
  </si>
  <si>
    <t>Contract Cost</t>
  </si>
  <si>
    <t>Travel Cost</t>
  </si>
  <si>
    <t>Material Cost</t>
  </si>
  <si>
    <t>Special-CNAL</t>
  </si>
  <si>
    <t>Columbus Day</t>
  </si>
  <si>
    <t>NSETC Staff Training Day</t>
  </si>
  <si>
    <t>Special-Shift from Mayport</t>
  </si>
  <si>
    <t>NPASE C School POC: LT Houston</t>
  </si>
  <si>
    <t>Veterans Day</t>
  </si>
  <si>
    <t>Thanksgiving Potluck</t>
  </si>
  <si>
    <t>1100</t>
  </si>
  <si>
    <t>Thanksgiving</t>
  </si>
  <si>
    <t>All Hands @0900</t>
  </si>
  <si>
    <t>IH Indoc</t>
  </si>
  <si>
    <t>RMI Training POC Mike Bailey</t>
  </si>
  <si>
    <t>Christmas Function</t>
  </si>
  <si>
    <t>Christmas Day</t>
  </si>
  <si>
    <t>New Year's Day</t>
  </si>
  <si>
    <t>JBPHH</t>
  </si>
  <si>
    <t>MLK Day</t>
  </si>
  <si>
    <t>23-26 Jan</t>
  </si>
  <si>
    <t>Washington's Birthday</t>
  </si>
  <si>
    <t>Special-Do not Spread(Sea Bees)</t>
  </si>
  <si>
    <t>Special-Do not Spread(USS GEORGE WASHINGTON (CVN 73)</t>
  </si>
  <si>
    <t>Special for USMC</t>
  </si>
  <si>
    <t>Location change</t>
  </si>
  <si>
    <t>Target Area: Sigonella, Italy</t>
  </si>
  <si>
    <t>NAVSUP FLC  Sasebo Detachment, Japan</t>
  </si>
  <si>
    <t>Target Area: Souda Bay, Greece</t>
  </si>
  <si>
    <t>NAVSUP FLC Yokosuka – Hachinohe Detachment</t>
  </si>
  <si>
    <t>USAF Special Convening do not spread quotas</t>
  </si>
  <si>
    <t>NAVSUP FLC Yokosuka – Hakozaki Detachment</t>
  </si>
  <si>
    <t>NAVSUP FLC Yokosuka – Tsurumi Detachment</t>
  </si>
  <si>
    <t>Memorial Day</t>
  </si>
  <si>
    <t>Juneteenth</t>
  </si>
  <si>
    <t>July 4th Function</t>
  </si>
  <si>
    <t>Independence Day</t>
  </si>
  <si>
    <t>SMT Special Convening for USMC</t>
  </si>
  <si>
    <t>USAF special convening do not spread quotas</t>
  </si>
  <si>
    <t>Labor Day</t>
  </si>
  <si>
    <t>Barking Sands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</si>
</sst>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hhmm"/>
  </numFmts>
  <fonts count="26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</font>
    <font>
      <sz val="11"/>
      <color rgb="FFFFFFFF"/>
      <name val="Calibri"/>
      <family val="2"/>
      <scheme val="minor"/>
    </font>
    <font>
      <b/>
      <strike/>
      <sz val="11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name val="Calibri"/>
      <scheme val="minor"/>
    </font>
    <font>
      <sz val="11"/>
      <color rgb="FF000000"/>
      <name val="Calibri"/>
    </font>
    <font>
      <b/>
      <sz val="11"/>
      <name val="Calibri"/>
      <scheme val="minor"/>
    </font>
    <font>
      <b/>
      <sz val="10"/>
      <color theme="1"/>
      <name val="Calibri"/>
      <family val="2"/>
      <scheme val="minor"/>
    </font>
    <font>
      <b/>
      <sz val="10"/>
      <color rgb="FF000000"/>
      <name val="Calibri"/>
    </font>
    <font>
      <b/>
      <sz val="8"/>
      <color rgb="FF000000"/>
      <name val="Calibri"/>
    </font>
    <font>
      <sz val="11"/>
      <color rgb="FF000000"/>
      <name val="Calibri"/>
      <charset val="1"/>
    </font>
    <font>
      <b/>
      <sz val="11"/>
      <name val="Calibri"/>
      <family val="2"/>
    </font>
    <font>
      <b/>
      <u val="double"/>
      <sz val="1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theme="6"/>
      </patternFill>
    </fill>
    <fill>
      <patternFill patternType="solid">
        <fgColor rgb="FFDDEBF7"/>
        <bgColor indexed="64"/>
      </patternFill>
    </fill>
    <fill>
      <patternFill patternType="solid">
        <fgColor theme="1"/>
        <bgColor theme="1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1"/>
        <bgColor indexed="64"/>
      </patternFill>
    </fill>
  </fills>
  <borders count="41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medium">
        <color theme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288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3" fillId="0" borderId="0" xfId="0" applyFont="1"/>
    <xf numFmtId="0" fontId="0" fillId="0" borderId="0" xfId="0" pivotButton="1"/>
    <xf numFmtId="0" fontId="4" fillId="0" borderId="0" xfId="0" applyFont="1"/>
    <xf numFmtId="0" fontId="4" fillId="0" borderId="0" xfId="0" applyFont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left"/>
    </xf>
    <xf numFmtId="14" fontId="1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5" fillId="0" borderId="0" xfId="0" applyFont="1"/>
    <xf numFmtId="0" fontId="5" fillId="0" borderId="0" xfId="0" applyFont="1" applyProtection="1">
      <protection locked="0"/>
    </xf>
    <xf numFmtId="1" fontId="1" fillId="0" borderId="0" xfId="0" applyNumberFormat="1" applyFont="1" applyAlignment="1">
      <alignment horizontal="center" vertical="center"/>
    </xf>
    <xf numFmtId="1" fontId="1" fillId="0" borderId="0" xfId="0" applyNumberFormat="1" applyFont="1" applyAlignment="1">
      <alignment horizontal="center"/>
    </xf>
    <xf numFmtId="0" fontId="0" fillId="3" borderId="0" xfId="0" applyFill="1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left" wrapText="1"/>
    </xf>
    <xf numFmtId="0" fontId="0" fillId="0" borderId="3" xfId="0" applyBorder="1" applyAlignment="1">
      <alignment wrapText="1"/>
    </xf>
    <xf numFmtId="0" fontId="0" fillId="0" borderId="3" xfId="0" applyBorder="1" applyAlignment="1">
      <alignment horizontal="center" wrapText="1"/>
    </xf>
    <xf numFmtId="0" fontId="0" fillId="0" borderId="3" xfId="0" applyBorder="1" applyAlignment="1">
      <alignment horizontal="left" wrapText="1"/>
    </xf>
    <xf numFmtId="10" fontId="0" fillId="0" borderId="0" xfId="1" applyNumberFormat="1" applyFont="1" applyFill="1" applyAlignment="1">
      <alignment horizontal="center" wrapText="1"/>
    </xf>
    <xf numFmtId="10" fontId="0" fillId="0" borderId="0" xfId="0" applyNumberFormat="1" applyAlignment="1">
      <alignment horizontal="center" wrapText="1"/>
    </xf>
    <xf numFmtId="10" fontId="0" fillId="0" borderId="0" xfId="0" applyNumberFormat="1" applyAlignment="1">
      <alignment horizontal="center"/>
    </xf>
    <xf numFmtId="0" fontId="8" fillId="0" borderId="0" xfId="0" applyFont="1" applyAlignment="1">
      <alignment horizontal="center"/>
    </xf>
    <xf numFmtId="0" fontId="4" fillId="2" borderId="8" xfId="0" applyFont="1" applyFill="1" applyBorder="1" applyAlignment="1">
      <alignment vertical="center" wrapText="1"/>
    </xf>
    <xf numFmtId="0" fontId="0" fillId="2" borderId="0" xfId="0" applyFill="1" applyAlignment="1">
      <alignment horizontal="center" vertical="center" wrapText="1"/>
    </xf>
    <xf numFmtId="10" fontId="0" fillId="2" borderId="0" xfId="1" applyNumberFormat="1" applyFont="1" applyFill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center" wrapText="1"/>
    </xf>
    <xf numFmtId="10" fontId="1" fillId="0" borderId="0" xfId="0" applyNumberFormat="1" applyFont="1" applyAlignment="1">
      <alignment horizontal="center" wrapText="1"/>
    </xf>
    <xf numFmtId="10" fontId="0" fillId="0" borderId="9" xfId="0" applyNumberFormat="1" applyBorder="1" applyAlignment="1">
      <alignment horizontal="center"/>
    </xf>
    <xf numFmtId="0" fontId="4" fillId="2" borderId="10" xfId="0" applyFont="1" applyFill="1" applyBorder="1" applyAlignment="1">
      <alignment wrapText="1"/>
    </xf>
    <xf numFmtId="0" fontId="4" fillId="2" borderId="10" xfId="0" applyFont="1" applyFill="1" applyBorder="1" applyAlignment="1">
      <alignment horizontal="center" wrapText="1"/>
    </xf>
    <xf numFmtId="10" fontId="4" fillId="2" borderId="11" xfId="0" applyNumberFormat="1" applyFont="1" applyFill="1" applyBorder="1" applyAlignment="1">
      <alignment horizontal="center" wrapText="1"/>
    </xf>
    <xf numFmtId="0" fontId="4" fillId="2" borderId="0" xfId="0" applyFont="1" applyFill="1" applyAlignment="1">
      <alignment vertical="center" wrapText="1"/>
    </xf>
    <xf numFmtId="0" fontId="0" fillId="5" borderId="0" xfId="0" applyFill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4" fillId="2" borderId="13" xfId="0" applyFont="1" applyFill="1" applyBorder="1" applyAlignment="1">
      <alignment wrapText="1"/>
    </xf>
    <xf numFmtId="0" fontId="4" fillId="2" borderId="13" xfId="0" applyFont="1" applyFill="1" applyBorder="1" applyAlignment="1">
      <alignment horizontal="center" wrapText="1"/>
    </xf>
    <xf numFmtId="0" fontId="0" fillId="0" borderId="14" xfId="0" applyBorder="1" applyAlignment="1">
      <alignment wrapText="1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wrapText="1"/>
    </xf>
    <xf numFmtId="0" fontId="0" fillId="0" borderId="15" xfId="0" applyBorder="1" applyAlignment="1">
      <alignment horizontal="center" wrapText="1"/>
    </xf>
    <xf numFmtId="0" fontId="4" fillId="2" borderId="0" xfId="0" applyFont="1" applyFill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2" borderId="0" xfId="0" applyFill="1" applyAlignment="1">
      <alignment wrapText="1"/>
    </xf>
    <xf numFmtId="1" fontId="1" fillId="0" borderId="0" xfId="0" applyNumberFormat="1" applyFont="1" applyAlignment="1">
      <alignment horizontal="right"/>
    </xf>
    <xf numFmtId="0" fontId="0" fillId="4" borderId="0" xfId="0" applyFill="1" applyAlignment="1">
      <alignment horizontal="center" wrapText="1"/>
    </xf>
    <xf numFmtId="0" fontId="1" fillId="0" borderId="0" xfId="0" applyFont="1" applyProtection="1">
      <protection locked="0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164" fontId="1" fillId="0" borderId="0" xfId="0" applyNumberFormat="1" applyFont="1" applyAlignment="1">
      <alignment horizontal="center" vertical="center" wrapText="1"/>
    </xf>
    <xf numFmtId="10" fontId="1" fillId="0" borderId="0" xfId="0" applyNumberFormat="1" applyFont="1" applyAlignment="1">
      <alignment horizontal="center" vertical="center" wrapText="1"/>
    </xf>
    <xf numFmtId="0" fontId="1" fillId="0" borderId="0" xfId="0" applyFont="1" applyAlignment="1" applyProtection="1">
      <alignment horizontal="left" vertical="center" wrapText="1"/>
      <protection hidden="1"/>
    </xf>
    <xf numFmtId="0" fontId="10" fillId="7" borderId="0" xfId="0" applyFont="1" applyFill="1" applyAlignment="1">
      <alignment horizontal="center" vertical="center" wrapText="1"/>
    </xf>
    <xf numFmtId="0" fontId="5" fillId="7" borderId="17" xfId="0" applyFont="1" applyFill="1" applyBorder="1" applyAlignment="1">
      <alignment horizontal="center" vertical="center" wrapText="1"/>
    </xf>
    <xf numFmtId="0" fontId="5" fillId="6" borderId="3" xfId="0" applyFont="1" applyFill="1" applyBorder="1" applyAlignment="1">
      <alignment horizontal="center" vertical="center" wrapText="1"/>
    </xf>
    <xf numFmtId="0" fontId="5" fillId="6" borderId="7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14" fontId="12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1" fontId="12" fillId="0" borderId="1" xfId="0" applyNumberFormat="1" applyFont="1" applyBorder="1" applyAlignment="1">
      <alignment horizontal="center" vertical="center" wrapText="1"/>
    </xf>
    <xf numFmtId="0" fontId="12" fillId="0" borderId="2" xfId="0" applyFont="1" applyBorder="1" applyProtection="1">
      <protection locked="0"/>
    </xf>
    <xf numFmtId="0" fontId="6" fillId="0" borderId="18" xfId="0" applyFont="1" applyBorder="1" applyAlignment="1">
      <alignment horizontal="center" vertical="center" wrapText="1"/>
    </xf>
    <xf numFmtId="0" fontId="5" fillId="6" borderId="26" xfId="0" applyFont="1" applyFill="1" applyBorder="1" applyAlignment="1">
      <alignment horizontal="center" vertical="center" wrapText="1"/>
    </xf>
    <xf numFmtId="0" fontId="0" fillId="0" borderId="0" xfId="0" quotePrefix="1" applyAlignment="1">
      <alignment horizontal="center" vertical="center"/>
    </xf>
    <xf numFmtId="0" fontId="5" fillId="0" borderId="0" xfId="0" applyFont="1" applyAlignment="1">
      <alignment horizontal="left"/>
    </xf>
    <xf numFmtId="0" fontId="13" fillId="0" borderId="0" xfId="0" applyFont="1" applyProtection="1">
      <protection locked="0"/>
    </xf>
    <xf numFmtId="0" fontId="5" fillId="0" borderId="0" xfId="0" applyFont="1" applyAlignment="1" applyProtection="1">
      <alignment horizontal="left"/>
      <protection locked="0"/>
    </xf>
    <xf numFmtId="0" fontId="1" fillId="0" borderId="0" xfId="0" applyFont="1" applyAlignment="1">
      <alignment horizontal="right"/>
    </xf>
    <xf numFmtId="14" fontId="1" fillId="0" borderId="0" xfId="0" applyNumberFormat="1" applyFont="1" applyAlignment="1">
      <alignment horizontal="left" vertical="center"/>
    </xf>
    <xf numFmtId="0" fontId="6" fillId="0" borderId="16" xfId="0" applyFont="1" applyBorder="1" applyAlignment="1" applyProtection="1">
      <alignment horizontal="center" vertical="center" wrapText="1"/>
      <protection hidden="1"/>
    </xf>
    <xf numFmtId="0" fontId="6" fillId="0" borderId="19" xfId="0" applyFont="1" applyBorder="1" applyAlignment="1" applyProtection="1">
      <alignment horizontal="center" vertical="center" wrapText="1"/>
      <protection hidden="1"/>
    </xf>
    <xf numFmtId="0" fontId="6" fillId="0" borderId="3" xfId="0" applyFont="1" applyBorder="1" applyAlignment="1" applyProtection="1">
      <alignment horizontal="center" vertical="center" wrapText="1"/>
      <protection hidden="1"/>
    </xf>
    <xf numFmtId="10" fontId="6" fillId="0" borderId="16" xfId="1" applyNumberFormat="1" applyFont="1" applyFill="1" applyBorder="1" applyAlignment="1" applyProtection="1">
      <alignment horizontal="center" vertical="center" wrapText="1"/>
      <protection hidden="1"/>
    </xf>
    <xf numFmtId="1" fontId="6" fillId="0" borderId="3" xfId="0" applyNumberFormat="1" applyFont="1" applyBorder="1" applyAlignment="1" applyProtection="1">
      <alignment horizontal="center" vertical="center" wrapText="1"/>
      <protection hidden="1"/>
    </xf>
    <xf numFmtId="0" fontId="6" fillId="0" borderId="14" xfId="0" applyFont="1" applyBorder="1" applyAlignment="1" applyProtection="1">
      <alignment horizontal="center" vertical="center" wrapText="1"/>
      <protection hidden="1"/>
    </xf>
    <xf numFmtId="1" fontId="6" fillId="0" borderId="14" xfId="0" applyNumberFormat="1" applyFont="1" applyBorder="1" applyAlignment="1" applyProtection="1">
      <alignment horizontal="center" vertical="center" wrapText="1"/>
      <protection hidden="1"/>
    </xf>
    <xf numFmtId="10" fontId="6" fillId="0" borderId="3" xfId="1" applyNumberFormat="1" applyFont="1" applyFill="1" applyBorder="1" applyAlignment="1" applyProtection="1">
      <alignment horizontal="center" vertical="center" wrapText="1"/>
      <protection hidden="1"/>
    </xf>
    <xf numFmtId="164" fontId="5" fillId="7" borderId="17" xfId="1" applyNumberFormat="1" applyFont="1" applyFill="1" applyBorder="1" applyAlignment="1">
      <alignment horizontal="center" vertical="center" wrapText="1"/>
    </xf>
    <xf numFmtId="0" fontId="5" fillId="9" borderId="3" xfId="0" applyFont="1" applyFill="1" applyBorder="1" applyAlignment="1">
      <alignment horizontal="center" vertical="center" wrapText="1"/>
    </xf>
    <xf numFmtId="0" fontId="5" fillId="8" borderId="3" xfId="0" applyFont="1" applyFill="1" applyBorder="1" applyAlignment="1">
      <alignment horizontal="center" vertical="center" wrapText="1"/>
    </xf>
    <xf numFmtId="10" fontId="5" fillId="8" borderId="3" xfId="0" applyNumberFormat="1" applyFont="1" applyFill="1" applyBorder="1" applyAlignment="1">
      <alignment horizontal="center" vertical="center" wrapText="1"/>
    </xf>
    <xf numFmtId="0" fontId="10" fillId="8" borderId="6" xfId="0" applyFont="1" applyFill="1" applyBorder="1" applyAlignment="1">
      <alignment horizontal="left" vertical="center"/>
    </xf>
    <xf numFmtId="0" fontId="5" fillId="9" borderId="19" xfId="0" applyFont="1" applyFill="1" applyBorder="1" applyAlignment="1">
      <alignment horizontal="center" vertical="center" wrapText="1"/>
    </xf>
    <xf numFmtId="10" fontId="5" fillId="8" borderId="7" xfId="0" applyNumberFormat="1" applyFont="1" applyFill="1" applyBorder="1" applyAlignment="1">
      <alignment horizontal="center" vertical="center" wrapText="1"/>
    </xf>
    <xf numFmtId="10" fontId="6" fillId="0" borderId="7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20" xfId="0" applyFont="1" applyBorder="1" applyAlignment="1" applyProtection="1">
      <alignment horizontal="left" vertical="center" wrapText="1"/>
      <protection hidden="1"/>
    </xf>
    <xf numFmtId="0" fontId="6" fillId="0" borderId="16" xfId="0" applyFont="1" applyBorder="1" applyAlignment="1" applyProtection="1">
      <alignment horizontal="center" vertical="center"/>
      <protection hidden="1"/>
    </xf>
    <xf numFmtId="0" fontId="5" fillId="0" borderId="0" xfId="0" applyFont="1" applyAlignment="1">
      <alignment horizontal="left" vertical="center" wrapText="1"/>
    </xf>
    <xf numFmtId="0" fontId="10" fillId="7" borderId="24" xfId="0" applyFont="1" applyFill="1" applyBorder="1" applyAlignment="1">
      <alignment horizontal="left" vertical="center" wrapText="1"/>
    </xf>
    <xf numFmtId="0" fontId="10" fillId="7" borderId="24" xfId="0" applyFont="1" applyFill="1" applyBorder="1" applyAlignment="1">
      <alignment horizontal="center" vertical="center" wrapText="1"/>
    </xf>
    <xf numFmtId="3" fontId="10" fillId="8" borderId="28" xfId="0" applyNumberFormat="1" applyFont="1" applyFill="1" applyBorder="1" applyAlignment="1">
      <alignment horizontal="center" vertical="center"/>
    </xf>
    <xf numFmtId="3" fontId="10" fillId="6" borderId="27" xfId="0" applyNumberFormat="1" applyFont="1" applyFill="1" applyBorder="1" applyAlignment="1">
      <alignment horizontal="center" vertical="center"/>
    </xf>
    <xf numFmtId="9" fontId="10" fillId="7" borderId="24" xfId="1" applyFont="1" applyFill="1" applyBorder="1" applyAlignment="1">
      <alignment horizontal="center" vertical="center" wrapText="1"/>
    </xf>
    <xf numFmtId="9" fontId="10" fillId="8" borderId="28" xfId="1" applyFont="1" applyFill="1" applyBorder="1" applyAlignment="1">
      <alignment horizontal="center" vertical="center"/>
    </xf>
    <xf numFmtId="0" fontId="4" fillId="2" borderId="0" xfId="0" applyFont="1" applyFill="1"/>
    <xf numFmtId="9" fontId="0" fillId="2" borderId="0" xfId="1" applyFont="1" applyFill="1"/>
    <xf numFmtId="0" fontId="15" fillId="0" borderId="0" xfId="0" applyFont="1" applyAlignment="1">
      <alignment horizontal="left"/>
    </xf>
    <xf numFmtId="0" fontId="8" fillId="0" borderId="0" xfId="0" applyFont="1"/>
    <xf numFmtId="0" fontId="10" fillId="10" borderId="20" xfId="0" applyFont="1" applyFill="1" applyBorder="1" applyAlignment="1" applyProtection="1">
      <alignment horizontal="left" vertical="center" wrapText="1"/>
      <protection hidden="1"/>
    </xf>
    <xf numFmtId="1" fontId="1" fillId="0" borderId="0" xfId="0" applyNumberFormat="1" applyFont="1" applyAlignment="1">
      <alignment horizontal="right" vertical="center"/>
    </xf>
    <xf numFmtId="14" fontId="11" fillId="0" borderId="0" xfId="0" applyNumberFormat="1" applyFont="1" applyAlignment="1">
      <alignment horizontal="center"/>
    </xf>
    <xf numFmtId="0" fontId="1" fillId="12" borderId="29" xfId="0" applyFont="1" applyFill="1" applyBorder="1" applyAlignment="1">
      <alignment horizontal="left"/>
    </xf>
    <xf numFmtId="0" fontId="14" fillId="0" borderId="0" xfId="0" applyFont="1"/>
    <xf numFmtId="165" fontId="11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center" vertical="center"/>
    </xf>
    <xf numFmtId="0" fontId="11" fillId="0" borderId="0" xfId="0" applyFont="1"/>
    <xf numFmtId="14" fontId="1" fillId="0" borderId="0" xfId="0" applyNumberFormat="1" applyFont="1" applyAlignment="1">
      <alignment horizontal="center" vertical="center" wrapText="1"/>
    </xf>
    <xf numFmtId="14" fontId="14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1" fontId="8" fillId="0" borderId="0" xfId="0" applyNumberFormat="1" applyFont="1" applyAlignment="1">
      <alignment horizontal="right"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center" vertical="center" wrapText="1"/>
    </xf>
    <xf numFmtId="0" fontId="6" fillId="0" borderId="3" xfId="1" applyNumberFormat="1" applyFont="1" applyFill="1" applyBorder="1" applyAlignment="1" applyProtection="1">
      <alignment horizontal="center" vertical="center" wrapText="1"/>
      <protection hidden="1"/>
    </xf>
    <xf numFmtId="14" fontId="16" fillId="11" borderId="36" xfId="0" applyNumberFormat="1" applyFont="1" applyFill="1" applyBorder="1" applyAlignment="1">
      <alignment horizontal="center" vertical="center" wrapText="1"/>
    </xf>
    <xf numFmtId="0" fontId="19" fillId="0" borderId="0" xfId="0" applyFont="1"/>
    <xf numFmtId="1" fontId="19" fillId="0" borderId="0" xfId="0" applyNumberFormat="1" applyFont="1" applyAlignment="1">
      <alignment horizontal="center" vertical="center"/>
    </xf>
    <xf numFmtId="0" fontId="6" fillId="0" borderId="26" xfId="0" applyFont="1" applyBorder="1" applyAlignment="1" applyProtection="1">
      <alignment horizontal="center" vertical="center" wrapText="1"/>
      <protection hidden="1"/>
    </xf>
    <xf numFmtId="0" fontId="6" fillId="0" borderId="26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37" xfId="0" applyFont="1" applyBorder="1" applyAlignment="1" applyProtection="1">
      <alignment horizontal="center" vertical="center" wrapText="1"/>
      <protection hidden="1"/>
    </xf>
    <xf numFmtId="14" fontId="16" fillId="0" borderId="30" xfId="0" applyNumberFormat="1" applyFont="1" applyBorder="1" applyAlignment="1">
      <alignment horizontal="center" vertical="center" wrapText="1"/>
    </xf>
    <xf numFmtId="0" fontId="5" fillId="7" borderId="0" xfId="0" applyFont="1" applyFill="1" applyAlignment="1">
      <alignment horizontal="center" vertical="center" wrapText="1"/>
    </xf>
    <xf numFmtId="0" fontId="5" fillId="9" borderId="35" xfId="0" applyFont="1" applyFill="1" applyBorder="1" applyAlignment="1">
      <alignment horizontal="center" vertical="center" wrapText="1"/>
    </xf>
    <xf numFmtId="0" fontId="5" fillId="9" borderId="37" xfId="0" applyFont="1" applyFill="1" applyBorder="1" applyAlignment="1">
      <alignment horizontal="center" vertical="center" wrapText="1"/>
    </xf>
    <xf numFmtId="0" fontId="5" fillId="9" borderId="14" xfId="0" applyFont="1" applyFill="1" applyBorder="1" applyAlignment="1">
      <alignment horizontal="center" vertical="center" wrapText="1"/>
    </xf>
    <xf numFmtId="0" fontId="6" fillId="0" borderId="3" xfId="0" applyFont="1" applyBorder="1" applyAlignment="1" applyProtection="1">
      <alignment horizontal="center" vertical="center"/>
      <protection hidden="1"/>
    </xf>
    <xf numFmtId="0" fontId="0" fillId="2" borderId="0" xfId="0" applyFill="1"/>
    <xf numFmtId="0" fontId="0" fillId="0" borderId="3" xfId="0" applyBorder="1"/>
    <xf numFmtId="0" fontId="0" fillId="0" borderId="3" xfId="0" applyBorder="1" applyAlignment="1">
      <alignment horizontal="center"/>
    </xf>
    <xf numFmtId="0" fontId="0" fillId="13" borderId="3" xfId="0" applyFill="1" applyBorder="1"/>
    <xf numFmtId="0" fontId="6" fillId="13" borderId="3" xfId="0" applyFont="1" applyFill="1" applyBorder="1" applyAlignment="1" applyProtection="1">
      <alignment horizontal="center" vertical="center" wrapText="1"/>
      <protection hidden="1"/>
    </xf>
    <xf numFmtId="0" fontId="10" fillId="7" borderId="39" xfId="0" applyFont="1" applyFill="1" applyBorder="1" applyAlignment="1">
      <alignment horizontal="center" vertical="center" wrapText="1"/>
    </xf>
    <xf numFmtId="3" fontId="10" fillId="8" borderId="40" xfId="0" applyNumberFormat="1" applyFont="1" applyFill="1" applyBorder="1" applyAlignment="1">
      <alignment horizontal="center" vertical="center"/>
    </xf>
    <xf numFmtId="164" fontId="0" fillId="0" borderId="3" xfId="1" applyNumberFormat="1" applyFont="1" applyFill="1" applyBorder="1" applyAlignment="1">
      <alignment horizontal="center"/>
    </xf>
    <xf numFmtId="9" fontId="0" fillId="0" borderId="3" xfId="1" applyFont="1" applyFill="1" applyBorder="1"/>
    <xf numFmtId="0" fontId="1" fillId="0" borderId="0" xfId="0" applyFont="1" applyAlignment="1" applyProtection="1">
      <alignment horizontal="left" vertical="center"/>
      <protection hidden="1"/>
    </xf>
    <xf numFmtId="0" fontId="10" fillId="7" borderId="0" xfId="0" applyFont="1" applyFill="1" applyAlignment="1">
      <alignment horizontal="center" vertical="center"/>
    </xf>
    <xf numFmtId="0" fontId="10" fillId="0" borderId="3" xfId="0" applyFont="1" applyBorder="1" applyAlignment="1" applyProtection="1">
      <alignment horizontal="left" vertical="center"/>
      <protection hidden="1"/>
    </xf>
    <xf numFmtId="0" fontId="10" fillId="10" borderId="3" xfId="0" applyFont="1" applyFill="1" applyBorder="1" applyAlignment="1" applyProtection="1">
      <alignment horizontal="left" vertical="center"/>
      <protection hidden="1"/>
    </xf>
    <xf numFmtId="0" fontId="0" fillId="2" borderId="3" xfId="0" applyFill="1" applyBorder="1"/>
    <xf numFmtId="0" fontId="10" fillId="7" borderId="39" xfId="0" applyFont="1" applyFill="1" applyBorder="1" applyAlignment="1">
      <alignment horizontal="left" vertical="center"/>
    </xf>
    <xf numFmtId="0" fontId="20" fillId="0" borderId="3" xfId="0" applyFont="1" applyBorder="1" applyAlignment="1">
      <alignment vertical="center" wrapText="1"/>
    </xf>
    <xf numFmtId="0" fontId="21" fillId="0" borderId="3" xfId="0" applyFont="1" applyBorder="1" applyAlignment="1">
      <alignment vertical="center" wrapText="1"/>
    </xf>
    <xf numFmtId="10" fontId="0" fillId="0" borderId="3" xfId="1" applyNumberFormat="1" applyFont="1" applyFill="1" applyBorder="1"/>
    <xf numFmtId="0" fontId="19" fillId="0" borderId="0" xfId="0" applyFont="1" applyAlignment="1">
      <alignment horizontal="center" vertical="center"/>
    </xf>
    <xf numFmtId="14" fontId="19" fillId="0" borderId="0" xfId="0" applyNumberFormat="1" applyFont="1" applyAlignment="1">
      <alignment horizontal="center" vertical="center"/>
    </xf>
    <xf numFmtId="0" fontId="17" fillId="0" borderId="0" xfId="0" applyFont="1" applyAlignment="1">
      <alignment horizontal="right" vertical="center"/>
    </xf>
    <xf numFmtId="0" fontId="5" fillId="4" borderId="0" xfId="0" applyFont="1" applyFill="1" applyProtection="1">
      <protection locked="0"/>
    </xf>
    <xf numFmtId="0" fontId="15" fillId="0" borderId="0" xfId="0" applyFont="1"/>
    <xf numFmtId="0" fontId="15" fillId="0" borderId="0" xfId="0" applyFont="1" applyProtection="1">
      <protection locked="0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 vertical="center"/>
    </xf>
    <xf numFmtId="165" fontId="14" fillId="0" borderId="0" xfId="0" applyNumberFormat="1" applyFont="1" applyAlignment="1">
      <alignment horizontal="center"/>
    </xf>
    <xf numFmtId="14" fontId="8" fillId="0" borderId="0" xfId="0" applyNumberFormat="1" applyFont="1" applyAlignment="1">
      <alignment horizontal="center" vertical="center"/>
    </xf>
    <xf numFmtId="1" fontId="8" fillId="0" borderId="0" xfId="0" applyNumberFormat="1" applyFont="1" applyAlignment="1">
      <alignment horizontal="center"/>
    </xf>
    <xf numFmtId="1" fontId="8" fillId="0" borderId="0" xfId="0" applyNumberFormat="1" applyFont="1" applyAlignment="1">
      <alignment horizontal="center" vertical="center"/>
    </xf>
    <xf numFmtId="165" fontId="8" fillId="0" borderId="0" xfId="0" applyNumberFormat="1" applyFont="1" applyAlignment="1">
      <alignment horizontal="center" vertical="center"/>
    </xf>
    <xf numFmtId="1" fontId="8" fillId="0" borderId="0" xfId="0" applyNumberFormat="1" applyFont="1"/>
    <xf numFmtId="0" fontId="15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165" fontId="8" fillId="0" borderId="0" xfId="0" quotePrefix="1" applyNumberFormat="1" applyFont="1" applyAlignment="1">
      <alignment horizontal="center" vertical="center"/>
    </xf>
    <xf numFmtId="1" fontId="8" fillId="0" borderId="0" xfId="0" applyNumberFormat="1" applyFont="1" applyAlignment="1">
      <alignment horizontal="right" vertical="center"/>
    </xf>
    <xf numFmtId="0" fontId="8" fillId="0" borderId="0" xfId="0" applyFont="1" applyAlignment="1">
      <alignment horizontal="left" vertical="center"/>
    </xf>
    <xf numFmtId="1" fontId="1" fillId="0" borderId="0" xfId="0" applyNumberFormat="1" applyFont="1"/>
    <xf numFmtId="0" fontId="18" fillId="0" borderId="0" xfId="0" applyFont="1"/>
    <xf numFmtId="0" fontId="5" fillId="4" borderId="0" xfId="0" applyFont="1" applyFill="1"/>
    <xf numFmtId="0" fontId="1" fillId="4" borderId="0" xfId="0" applyFont="1" applyFill="1"/>
    <xf numFmtId="0" fontId="1" fillId="4" borderId="0" xfId="0" applyFont="1" applyFill="1" applyProtection="1">
      <protection locked="0"/>
    </xf>
    <xf numFmtId="0" fontId="16" fillId="11" borderId="36" xfId="0" applyFont="1" applyFill="1" applyBorder="1" applyAlignment="1">
      <alignment horizontal="center" vertical="center"/>
    </xf>
    <xf numFmtId="0" fontId="16" fillId="11" borderId="36" xfId="0" applyFont="1" applyFill="1" applyBorder="1" applyAlignment="1">
      <alignment horizontal="center" vertical="center" wrapText="1"/>
    </xf>
    <xf numFmtId="49" fontId="16" fillId="11" borderId="36" xfId="0" applyNumberFormat="1" applyFont="1" applyFill="1" applyBorder="1" applyAlignment="1">
      <alignment horizontal="center" vertical="center"/>
    </xf>
    <xf numFmtId="1" fontId="16" fillId="11" borderId="36" xfId="0" applyNumberFormat="1" applyFont="1" applyFill="1" applyBorder="1" applyAlignment="1">
      <alignment horizontal="center" vertical="center" wrapText="1"/>
    </xf>
    <xf numFmtId="14" fontId="0" fillId="0" borderId="0" xfId="0" applyNumberFormat="1"/>
    <xf numFmtId="14" fontId="0" fillId="0" borderId="0" xfId="0" applyNumberFormat="1" applyAlignment="1">
      <alignment horizontal="center"/>
    </xf>
    <xf numFmtId="0" fontId="23" fillId="0" borderId="0" xfId="0" applyFont="1"/>
    <xf numFmtId="49" fontId="12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14" fontId="16" fillId="11" borderId="36" xfId="0" applyNumberFormat="1" applyFont="1" applyFill="1" applyBorder="1" applyAlignment="1">
      <alignment vertical="center" wrapText="1"/>
    </xf>
    <xf numFmtId="14" fontId="1" fillId="0" borderId="0" xfId="0" applyNumberFormat="1" applyFont="1" applyAlignment="1">
      <alignment vertical="center"/>
    </xf>
    <xf numFmtId="14" fontId="8" fillId="0" borderId="0" xfId="0" applyNumberFormat="1" applyFont="1" applyAlignment="1">
      <alignment vertical="center"/>
    </xf>
    <xf numFmtId="14" fontId="11" fillId="0" borderId="0" xfId="0" applyNumberFormat="1" applyFont="1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8" fillId="12" borderId="29" xfId="0" applyFont="1" applyFill="1" applyBorder="1" applyAlignment="1">
      <alignment horizontal="left"/>
    </xf>
    <xf numFmtId="0" fontId="8" fillId="12" borderId="29" xfId="0" applyFont="1" applyFill="1" applyBorder="1" applyAlignment="1">
      <alignment horizontal="center" vertical="center"/>
    </xf>
    <xf numFmtId="14" fontId="8" fillId="12" borderId="29" xfId="0" applyNumberFormat="1" applyFont="1" applyFill="1" applyBorder="1" applyAlignment="1">
      <alignment horizontal="center" vertical="center"/>
    </xf>
    <xf numFmtId="0" fontId="10" fillId="7" borderId="22" xfId="0" applyFont="1" applyFill="1" applyBorder="1" applyAlignment="1">
      <alignment horizontal="left" vertical="center" wrapText="1"/>
    </xf>
    <xf numFmtId="0" fontId="10" fillId="8" borderId="5" xfId="0" applyFont="1" applyFill="1" applyBorder="1" applyAlignment="1">
      <alignment horizontal="left" vertical="center"/>
    </xf>
    <xf numFmtId="0" fontId="5" fillId="0" borderId="0" xfId="0" applyFont="1" applyFill="1" applyProtection="1">
      <protection locked="0"/>
    </xf>
    <xf numFmtId="0" fontId="5" fillId="0" borderId="0" xfId="0" applyFont="1" applyFill="1"/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center" vertical="center"/>
    </xf>
    <xf numFmtId="14" fontId="24" fillId="0" borderId="0" xfId="0" applyNumberFormat="1" applyFont="1" applyFill="1" applyAlignment="1">
      <alignment horizontal="center"/>
    </xf>
    <xf numFmtId="14" fontId="5" fillId="0" borderId="0" xfId="0" applyNumberFormat="1" applyFont="1" applyFill="1" applyAlignment="1">
      <alignment horizontal="center" vertical="center"/>
    </xf>
    <xf numFmtId="165" fontId="24" fillId="0" borderId="0" xfId="0" applyNumberFormat="1" applyFont="1" applyFill="1" applyAlignment="1">
      <alignment horizontal="center"/>
    </xf>
    <xf numFmtId="165" fontId="5" fillId="0" borderId="0" xfId="0" applyNumberFormat="1" applyFont="1" applyFill="1" applyAlignment="1">
      <alignment horizontal="center" vertical="center"/>
    </xf>
    <xf numFmtId="1" fontId="5" fillId="0" borderId="0" xfId="0" applyNumberFormat="1" applyFont="1" applyFill="1" applyAlignment="1">
      <alignment horizontal="center" vertical="center"/>
    </xf>
    <xf numFmtId="1" fontId="5" fillId="0" borderId="0" xfId="0" applyNumberFormat="1" applyFont="1" applyFill="1"/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Alignment="1">
      <alignment horizontal="center"/>
    </xf>
    <xf numFmtId="1" fontId="5" fillId="0" borderId="0" xfId="0" applyNumberFormat="1" applyFont="1" applyFill="1" applyAlignment="1">
      <alignment horizontal="right"/>
    </xf>
    <xf numFmtId="0" fontId="24" fillId="0" borderId="0" xfId="0" applyFont="1" applyFill="1"/>
    <xf numFmtId="165" fontId="5" fillId="0" borderId="0" xfId="0" quotePrefix="1" applyNumberFormat="1" applyFont="1" applyFill="1" applyAlignment="1">
      <alignment horizontal="center" vertical="center"/>
    </xf>
    <xf numFmtId="0" fontId="13" fillId="0" borderId="0" xfId="0" applyFont="1" applyFill="1" applyProtection="1">
      <protection locked="0"/>
    </xf>
    <xf numFmtId="0" fontId="5" fillId="0" borderId="0" xfId="0" applyFont="1" applyFill="1" applyAlignment="1" applyProtection="1">
      <alignment horizontal="left"/>
      <protection locked="0"/>
    </xf>
    <xf numFmtId="1" fontId="1" fillId="0" borderId="0" xfId="0" applyNumberFormat="1" applyFont="1" applyFill="1" applyAlignment="1">
      <alignment horizontal="center" vertical="center"/>
    </xf>
    <xf numFmtId="1" fontId="1" fillId="0" borderId="0" xfId="0" applyNumberFormat="1" applyFont="1" applyFill="1"/>
    <xf numFmtId="0" fontId="1" fillId="0" borderId="0" xfId="0" applyFont="1" applyFill="1"/>
    <xf numFmtId="0" fontId="5" fillId="0" borderId="0" xfId="0" applyFont="1" applyFill="1" applyAlignment="1">
      <alignment horizontal="left" vertical="center" wrapText="1"/>
    </xf>
    <xf numFmtId="1" fontId="5" fillId="0" borderId="0" xfId="0" applyNumberFormat="1" applyFont="1" applyFill="1" applyAlignment="1">
      <alignment horizontal="left"/>
    </xf>
    <xf numFmtId="1" fontId="1" fillId="0" borderId="0" xfId="0" applyNumberFormat="1" applyFont="1" applyFill="1" applyAlignment="1">
      <alignment horizontal="center"/>
    </xf>
    <xf numFmtId="14" fontId="5" fillId="0" borderId="0" xfId="0" applyNumberFormat="1" applyFont="1" applyFill="1" applyAlignment="1" applyProtection="1">
      <alignment horizontal="right" vertical="center"/>
      <protection locked="0"/>
    </xf>
    <xf numFmtId="1" fontId="1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14" fontId="5" fillId="0" borderId="25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center" vertical="center"/>
    </xf>
    <xf numFmtId="14" fontId="1" fillId="0" borderId="0" xfId="0" applyNumberFormat="1" applyFont="1" applyFill="1" applyAlignment="1">
      <alignment horizontal="center" vertical="center"/>
    </xf>
    <xf numFmtId="165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/>
    </xf>
    <xf numFmtId="1" fontId="1" fillId="0" borderId="0" xfId="0" applyNumberFormat="1" applyFont="1" applyFill="1" applyAlignment="1">
      <alignment horizontal="right"/>
    </xf>
    <xf numFmtId="14" fontId="5" fillId="0" borderId="0" xfId="0" applyNumberFormat="1" applyFont="1" applyFill="1" applyAlignment="1" applyProtection="1">
      <alignment horizontal="center" vertical="center"/>
      <protection locked="0"/>
    </xf>
    <xf numFmtId="14" fontId="25" fillId="0" borderId="0" xfId="0" applyNumberFormat="1" applyFont="1" applyFill="1" applyAlignment="1">
      <alignment horizontal="center" vertical="center"/>
    </xf>
    <xf numFmtId="0" fontId="11" fillId="0" borderId="0" xfId="0" applyFont="1" applyFill="1"/>
    <xf numFmtId="1" fontId="1" fillId="0" borderId="0" xfId="0" applyNumberFormat="1" applyFont="1" applyFill="1" applyAlignment="1">
      <alignment horizontal="left"/>
    </xf>
    <xf numFmtId="0" fontId="1" fillId="0" borderId="0" xfId="0" applyFont="1" applyFill="1" applyProtection="1">
      <protection locked="0"/>
    </xf>
    <xf numFmtId="14" fontId="5" fillId="0" borderId="0" xfId="0" applyNumberFormat="1" applyFont="1" applyFill="1" applyAlignment="1">
      <alignment horizontal="left"/>
    </xf>
    <xf numFmtId="14" fontId="24" fillId="0" borderId="25" xfId="0" applyNumberFormat="1" applyFont="1" applyFill="1" applyBorder="1" applyAlignment="1">
      <alignment horizontal="center"/>
    </xf>
    <xf numFmtId="0" fontId="24" fillId="0" borderId="0" xfId="0" applyFont="1" applyFill="1" applyAlignment="1">
      <alignment horizontal="left"/>
    </xf>
    <xf numFmtId="0" fontId="5" fillId="0" borderId="0" xfId="0" applyFont="1" applyFill="1" applyAlignment="1">
      <alignment horizontal="left" wrapText="1"/>
    </xf>
    <xf numFmtId="14" fontId="1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left" vertical="center"/>
    </xf>
    <xf numFmtId="1" fontId="1" fillId="0" borderId="0" xfId="0" applyNumberFormat="1" applyFont="1" applyFill="1" applyAlignment="1">
      <alignment horizontal="right" vertical="center"/>
    </xf>
    <xf numFmtId="1" fontId="5" fillId="0" borderId="0" xfId="0" applyNumberFormat="1" applyFont="1" applyFill="1" applyAlignment="1">
      <alignment horizontal="right" vertical="center"/>
    </xf>
    <xf numFmtId="14" fontId="11" fillId="0" borderId="25" xfId="0" applyNumberFormat="1" applyFont="1" applyFill="1" applyBorder="1" applyAlignment="1">
      <alignment horizontal="center"/>
    </xf>
    <xf numFmtId="165" fontId="11" fillId="0" borderId="0" xfId="0" applyNumberFormat="1" applyFont="1" applyFill="1" applyAlignment="1">
      <alignment horizontal="center"/>
    </xf>
    <xf numFmtId="14" fontId="1" fillId="0" borderId="25" xfId="0" applyNumberFormat="1" applyFont="1" applyFill="1" applyBorder="1" applyAlignment="1">
      <alignment horizontal="center" vertical="center"/>
    </xf>
    <xf numFmtId="165" fontId="1" fillId="0" borderId="0" xfId="0" quotePrefix="1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14" fontId="1" fillId="0" borderId="29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right"/>
    </xf>
    <xf numFmtId="0" fontId="1" fillId="0" borderId="25" xfId="0" applyFont="1" applyFill="1" applyBorder="1" applyAlignment="1">
      <alignment horizontal="left"/>
    </xf>
    <xf numFmtId="0" fontId="1" fillId="0" borderId="0" xfId="0" applyFont="1" applyFill="1" applyAlignment="1">
      <alignment horizontal="left" vertical="center" wrapText="1"/>
    </xf>
    <xf numFmtId="0" fontId="11" fillId="0" borderId="25" xfId="0" applyFont="1" applyFill="1" applyBorder="1"/>
    <xf numFmtId="0" fontId="1" fillId="0" borderId="25" xfId="0" applyFont="1" applyFill="1" applyBorder="1"/>
    <xf numFmtId="0" fontId="1" fillId="0" borderId="31" xfId="0" applyFont="1" applyFill="1" applyBorder="1" applyAlignment="1">
      <alignment horizontal="left"/>
    </xf>
    <xf numFmtId="0" fontId="11" fillId="0" borderId="0" xfId="0" applyFont="1" applyFill="1" applyAlignment="1">
      <alignment horizontal="left"/>
    </xf>
    <xf numFmtId="0" fontId="1" fillId="0" borderId="3" xfId="0" applyFont="1" applyFill="1" applyBorder="1" applyAlignment="1">
      <alignment horizontal="left"/>
    </xf>
    <xf numFmtId="14" fontId="11" fillId="0" borderId="3" xfId="0" applyNumberFormat="1" applyFont="1" applyFill="1" applyBorder="1" applyAlignment="1">
      <alignment horizontal="center"/>
    </xf>
    <xf numFmtId="14" fontId="1" fillId="0" borderId="3" xfId="0" applyNumberFormat="1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left"/>
    </xf>
    <xf numFmtId="0" fontId="11" fillId="0" borderId="3" xfId="0" applyFont="1" applyFill="1" applyBorder="1"/>
    <xf numFmtId="14" fontId="1" fillId="0" borderId="32" xfId="0" applyNumberFormat="1" applyFont="1" applyFill="1" applyBorder="1" applyAlignment="1">
      <alignment horizontal="center" vertical="center"/>
    </xf>
    <xf numFmtId="14" fontId="1" fillId="0" borderId="33" xfId="0" applyNumberFormat="1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left" vertical="center"/>
    </xf>
    <xf numFmtId="14" fontId="11" fillId="0" borderId="25" xfId="0" applyNumberFormat="1" applyFont="1" applyFill="1" applyBorder="1" applyAlignment="1">
      <alignment horizontal="center" vertical="center"/>
    </xf>
    <xf numFmtId="14" fontId="11" fillId="0" borderId="0" xfId="0" applyNumberFormat="1" applyFont="1" applyFill="1" applyAlignment="1">
      <alignment horizontal="center" vertical="center"/>
    </xf>
    <xf numFmtId="14" fontId="1" fillId="0" borderId="0" xfId="0" applyNumberFormat="1" applyFont="1" applyFill="1" applyAlignment="1">
      <alignment horizontal="left" vertical="center"/>
    </xf>
    <xf numFmtId="0" fontId="1" fillId="0" borderId="0" xfId="0" applyFont="1" applyFill="1" applyAlignment="1">
      <alignment horizontal="right"/>
    </xf>
    <xf numFmtId="0" fontId="1" fillId="0" borderId="3" xfId="0" applyFont="1" applyFill="1" applyBorder="1"/>
    <xf numFmtId="0" fontId="1" fillId="0" borderId="25" xfId="0" applyFont="1" applyFill="1" applyBorder="1" applyAlignment="1">
      <alignment horizontal="left" vertical="center" wrapText="1"/>
    </xf>
    <xf numFmtId="0" fontId="1" fillId="0" borderId="29" xfId="0" applyFont="1" applyFill="1" applyBorder="1" applyAlignment="1">
      <alignment horizontal="left"/>
    </xf>
    <xf numFmtId="0" fontId="11" fillId="0" borderId="29" xfId="0" applyFont="1" applyFill="1" applyBorder="1"/>
    <xf numFmtId="14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vertical="center"/>
    </xf>
    <xf numFmtId="14" fontId="11" fillId="0" borderId="0" xfId="0" applyNumberFormat="1" applyFont="1" applyFill="1" applyAlignment="1">
      <alignment horizontal="center" wrapText="1"/>
    </xf>
    <xf numFmtId="0" fontId="1" fillId="0" borderId="34" xfId="0" applyFont="1" applyFill="1" applyBorder="1" applyAlignment="1">
      <alignment horizontal="left"/>
    </xf>
    <xf numFmtId="0" fontId="1" fillId="0" borderId="34" xfId="0" applyFont="1" applyFill="1" applyBorder="1" applyAlignment="1">
      <alignment horizontal="center" vertical="center"/>
    </xf>
    <xf numFmtId="14" fontId="1" fillId="0" borderId="34" xfId="0" applyNumberFormat="1" applyFont="1" applyFill="1" applyBorder="1" applyAlignment="1">
      <alignment horizontal="center" vertical="center"/>
    </xf>
    <xf numFmtId="1" fontId="1" fillId="0" borderId="34" xfId="0" applyNumberFormat="1" applyFont="1" applyFill="1" applyBorder="1" applyAlignment="1">
      <alignment horizontal="center"/>
    </xf>
    <xf numFmtId="1" fontId="1" fillId="0" borderId="34" xfId="0" applyNumberFormat="1" applyFont="1" applyFill="1" applyBorder="1" applyAlignment="1">
      <alignment horizontal="center" vertical="center"/>
    </xf>
    <xf numFmtId="0" fontId="1" fillId="0" borderId="34" xfId="0" applyFont="1" applyFill="1" applyBorder="1"/>
    <xf numFmtId="0" fontId="10" fillId="7" borderId="21" xfId="0" applyFont="1" applyFill="1" applyBorder="1" applyAlignment="1">
      <alignment horizontal="left" vertical="center" wrapText="1"/>
    </xf>
    <xf numFmtId="0" fontId="10" fillId="7" borderId="22" xfId="0" applyFont="1" applyFill="1" applyBorder="1" applyAlignment="1">
      <alignment horizontal="left" vertical="center" wrapText="1"/>
    </xf>
    <xf numFmtId="0" fontId="10" fillId="8" borderId="4" xfId="0" applyFont="1" applyFill="1" applyBorder="1" applyAlignment="1">
      <alignment horizontal="left" vertical="center"/>
    </xf>
    <xf numFmtId="0" fontId="10" fillId="8" borderId="5" xfId="0" applyFont="1" applyFill="1" applyBorder="1" applyAlignment="1">
      <alignment horizontal="left" vertical="center"/>
    </xf>
    <xf numFmtId="0" fontId="10" fillId="6" borderId="22" xfId="0" applyFont="1" applyFill="1" applyBorder="1" applyAlignment="1">
      <alignment horizontal="left" vertical="center"/>
    </xf>
    <xf numFmtId="0" fontId="10" fillId="6" borderId="23" xfId="0" applyFont="1" applyFill="1" applyBorder="1" applyAlignment="1">
      <alignment horizontal="left" vertical="center"/>
    </xf>
    <xf numFmtId="0" fontId="10" fillId="8" borderId="38" xfId="0" applyFont="1" applyFill="1" applyBorder="1" applyAlignment="1">
      <alignment horizontal="left" vertical="center"/>
    </xf>
  </cellXfs>
  <cellStyles count="2">
    <cellStyle name="Normal" xfId="0" builtinId="0"/>
    <cellStyle name="Percent" xfId="1" builtinId="5"/>
  </cellStyles>
  <dxfs count="1085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ill>
        <patternFill>
          <bgColor rgb="FFFF0000"/>
        </patternFill>
      </fill>
    </dxf>
    <dxf>
      <font>
        <color theme="9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right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9" formatCode="m/d/yyyy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9" formatCode="m/d/yyyy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9" formatCode="m/d/yyyy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9" formatCode="m/d/yyyy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9" formatCode="m/d/yyyy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hhmm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hhmm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9" formatCode="m/d/yyyy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9" formatCode="m/d/yyyy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9" formatCode="m/d/yyyy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9" formatCode="m/d/yyyy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</dxf>
    <dxf>
      <font>
        <b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</dxf>
    <dxf>
      <border>
        <bottom style="thin">
          <color theme="0" tint="-0.24994659260841701"/>
        </bottom>
      </border>
    </dxf>
    <dxf>
      <font>
        <b val="0"/>
        <strike val="0"/>
        <outline val="0"/>
        <shadow val="0"/>
        <u val="none"/>
        <vertAlign val="baseline"/>
        <sz val="11"/>
        <color rgb="FFFFFFFF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theme="0" tint="-0.24994659260841701"/>
        </left>
        <right style="thin">
          <color theme="0" tint="-0.24994659260841701"/>
        </right>
        <top/>
        <bottom/>
      </border>
    </dxf>
    <dxf>
      <fill>
        <patternFill patternType="solid">
          <bgColor rgb="FFFF0000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1"/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3" formatCode="#,##0"/>
      <fill>
        <patternFill patternType="solid">
          <fgColor indexed="64"/>
          <bgColor theme="9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3" formatCode="#,##0"/>
      <fill>
        <patternFill patternType="solid">
          <fgColor indexed="64"/>
          <bgColor theme="9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  <protection locked="1" hidden="1"/>
    </dxf>
    <dxf>
      <font>
        <strike val="0"/>
        <outline val="0"/>
        <shadow val="0"/>
        <u val="none"/>
        <vertAlign val="baseline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3" formatCode="#,##0"/>
      <fill>
        <patternFill patternType="solid">
          <fgColor indexed="64"/>
          <bgColor theme="7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3" formatCode="#,##0"/>
      <fill>
        <patternFill patternType="solid">
          <fgColor indexed="64"/>
          <bgColor theme="7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3" formatCode="#,##0"/>
      <fill>
        <patternFill patternType="solid">
          <fgColor indexed="64"/>
          <bgColor theme="7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3" formatCode="#,##0"/>
      <fill>
        <patternFill patternType="solid">
          <fgColor indexed="64"/>
          <bgColor theme="7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  <protection locked="1" hidden="1"/>
    </dxf>
    <dxf>
      <font>
        <strike val="0"/>
        <outline val="0"/>
        <shadow val="0"/>
        <u val="none"/>
        <vertAlign val="baseline"/>
        <name val="Calibri"/>
        <scheme val="minor"/>
      </font>
      <numFmt numFmtId="0" formatCode="General"/>
      <fill>
        <patternFill patternType="solid">
          <fgColor indexed="64"/>
          <bgColor rgb="FF4472C4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3" formatCode="#,##0"/>
      <fill>
        <patternFill patternType="solid">
          <fgColor indexed="64"/>
          <bgColor theme="7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  <protection locked="1" hidden="1"/>
    </dxf>
    <dxf>
      <font>
        <strike val="0"/>
        <outline val="0"/>
        <shadow val="0"/>
        <u val="none"/>
        <vertAlign val="baseline"/>
        <name val="Calibri"/>
        <scheme val="minor"/>
      </font>
      <numFmt numFmtId="0" formatCode="General"/>
      <fill>
        <patternFill patternType="solid">
          <fgColor indexed="64"/>
          <bgColor rgb="FFFFFF0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3" formatCode="#,##0"/>
      <fill>
        <patternFill patternType="solid">
          <fgColor indexed="64"/>
          <bgColor theme="7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  <protection locked="1" hidden="1"/>
    </dxf>
    <dxf>
      <font>
        <strike val="0"/>
        <outline val="0"/>
        <shadow val="0"/>
        <u val="none"/>
        <vertAlign val="baseline"/>
        <name val="Calibri"/>
        <scheme val="minor"/>
      </font>
      <numFmt numFmtId="0" formatCode="General"/>
      <fill>
        <patternFill patternType="solid">
          <fgColor indexed="64"/>
          <bgColor rgb="FFFFFF0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solid">
          <fgColor indexed="64"/>
          <bgColor theme="7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solid">
          <fgColor indexed="64"/>
          <bgColor theme="7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solid">
          <fgColor indexed="64"/>
          <bgColor theme="7" tint="0.79998168889431442"/>
        </patternFill>
      </fill>
      <alignment horizontal="left" vertical="center" textRotation="0" wrapText="1" indent="0" justifyLastLine="0" shrinkToFit="0" readingOrder="0"/>
      <border diagonalUp="0" diagonalDown="0" outline="0">
        <left style="medium">
          <color indexed="64"/>
        </left>
        <right/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wrapText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1"/>
    </dxf>
    <dxf>
      <border>
        <top style="medium">
          <color rgb="FF000000"/>
        </top>
      </border>
    </dxf>
    <dxf>
      <font>
        <strike val="0"/>
        <outline val="0"/>
        <shadow val="0"/>
        <u val="none"/>
        <vertAlign val="baseline"/>
        <sz val="12"/>
        <color auto="1"/>
        <name val="Calibri"/>
        <scheme val="none"/>
      </font>
    </dxf>
    <dxf>
      <border outline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font>
        <strike val="0"/>
        <outline val="0"/>
        <shadow val="0"/>
        <u val="none"/>
        <vertAlign val="baseline"/>
        <sz val="12"/>
        <color auto="1"/>
        <name val="Calibri"/>
        <scheme val="none"/>
      </font>
    </dxf>
    <dxf>
      <font>
        <strike val="0"/>
        <outline val="0"/>
        <shadow val="0"/>
        <u val="none"/>
        <vertAlign val="baseline"/>
        <sz val="12"/>
        <color auto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3" formatCode="#,##0"/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medium">
          <color indexed="64"/>
        </top>
        <bottom style="medium">
          <color indexed="64"/>
        </bottom>
      </border>
      <protection locked="1" hidden="1"/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3" formatCode="#,##0"/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3" formatCode="#,##0"/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3" formatCode="#,##0"/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4" formatCode="0.00%"/>
      <fill>
        <patternFill patternType="solid">
          <fgColor indexed="64"/>
          <bgColor rgb="FFFFFF0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medium">
          <color indexed="64"/>
        </right>
        <top style="thin">
          <color indexed="64"/>
        </top>
        <bottom style="medium">
          <color indexed="64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4" formatCode="0.00%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4" formatCode="0.00%"/>
      <fill>
        <patternFill patternType="solid">
          <fgColor indexed="64"/>
          <bgColor rgb="FFFFFF0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4" formatCode="0.00%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4" formatCode="0.00%"/>
      <fill>
        <patternFill patternType="solid">
          <fgColor indexed="64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  <protection locked="1" hidden="1"/>
    </dxf>
    <dxf>
      <font>
        <strike val="0"/>
        <outline val="0"/>
        <shadow val="0"/>
        <u val="none"/>
        <vertAlign val="baseline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3" formatCode="#,##0"/>
      <fill>
        <patternFill patternType="solid">
          <fgColor indexed="64"/>
          <bgColor theme="9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  <protection locked="1" hidden="1"/>
    </dxf>
    <dxf>
      <font>
        <strike val="0"/>
        <outline val="0"/>
        <shadow val="0"/>
        <u val="none"/>
        <vertAlign val="baseline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6" formatCode="_(* #,##0_);_(* \(#,##0\);_(* &quot;-&quot;??_);_(@_)"/>
      <fill>
        <patternFill patternType="solid">
          <fgColor indexed="64"/>
          <bgColor theme="9" tint="0.79998168889431442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  <protection locked="1" hidden="1"/>
    </dxf>
    <dxf>
      <font>
        <strike val="0"/>
        <outline val="0"/>
        <shadow val="0"/>
        <u val="none"/>
        <vertAlign val="baseline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3" formatCode="#,##0"/>
      <fill>
        <patternFill patternType="solid">
          <fgColor indexed="64"/>
          <bgColor theme="9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  <protection locked="1" hidden="1"/>
    </dxf>
    <dxf>
      <font>
        <strike val="0"/>
        <outline val="0"/>
        <shadow val="0"/>
        <u val="none"/>
        <vertAlign val="baseline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3" formatCode="#,##0"/>
      <fill>
        <patternFill patternType="solid">
          <fgColor indexed="64"/>
          <bgColor theme="9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  <protection locked="1" hidden="1"/>
    </dxf>
    <dxf>
      <font>
        <strike val="0"/>
        <outline val="0"/>
        <shadow val="0"/>
        <u val="none"/>
        <vertAlign val="baseline"/>
        <name val="Calibri"/>
        <scheme val="minor"/>
      </font>
      <border diagonalUp="0" diagonalDown="0"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4" formatCode="0.0%"/>
      <fill>
        <patternFill patternType="solid">
          <fgColor indexed="64"/>
          <bgColor theme="7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medium">
          <color indexed="64"/>
        </top>
        <bottom style="medium">
          <color indexed="64"/>
        </bottom>
      </border>
      <protection locked="1" hidden="1"/>
    </dxf>
    <dxf>
      <font>
        <strike val="0"/>
        <outline val="0"/>
        <shadow val="0"/>
        <u val="none"/>
        <vertAlign val="baseline"/>
        <name val="Calibri"/>
        <scheme val="minor"/>
      </font>
      <numFmt numFmtId="14" formatCode="0.00%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3" formatCode="#,##0"/>
      <fill>
        <patternFill patternType="solid">
          <fgColor indexed="64"/>
          <bgColor theme="7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medium">
          <color indexed="64"/>
        </top>
        <bottom style="medium">
          <color indexed="64"/>
        </bottom>
      </border>
      <protection locked="1" hidden="1"/>
    </dxf>
    <dxf>
      <font>
        <strike val="0"/>
        <outline val="0"/>
        <shadow val="0"/>
        <u val="none"/>
        <vertAlign val="baseline"/>
        <name val="Calibri"/>
        <scheme val="minor"/>
      </font>
      <protection locked="1" hidden="1"/>
    </dxf>
    <dxf>
      <font>
        <strike val="0"/>
        <outline val="0"/>
        <shadow val="0"/>
        <u val="none"/>
        <vertAlign val="baseline"/>
        <name val="Calibri"/>
        <scheme val="minor"/>
      </font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3" formatCode="#,##0"/>
      <fill>
        <patternFill patternType="solid">
          <fgColor indexed="64"/>
          <bgColor theme="7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  <protection locked="1" hidden="1"/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solid">
          <fgColor indexed="64"/>
          <bgColor rgb="FF4472C4"/>
        </patternFill>
      </fill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3" formatCode="#,##0"/>
      <fill>
        <patternFill patternType="solid">
          <fgColor indexed="64"/>
          <bgColor theme="7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  <protection locked="1" hidden="1"/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solid">
          <fgColor indexed="64"/>
          <bgColor rgb="FFFFFF00"/>
        </patternFill>
      </fill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3" formatCode="#,##0"/>
      <fill>
        <patternFill patternType="solid">
          <fgColor indexed="64"/>
          <bgColor theme="7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  <protection locked="1" hidden="1"/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solid">
          <fgColor indexed="64"/>
          <bgColor rgb="FFFFFF00"/>
        </patternFill>
      </fill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solid">
          <fgColor indexed="64"/>
          <bgColor theme="7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solid">
          <fgColor indexed="64"/>
          <bgColor theme="7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solid">
          <fgColor indexed="64"/>
          <bgColor theme="7" tint="0.79998168889431442"/>
        </patternFill>
      </fill>
      <alignment horizontal="left" vertical="center" textRotation="0" wrapText="1" indent="0" justifyLastLine="0" shrinkToFit="0" readingOrder="0"/>
      <border diagonalUp="0" diagonalDown="0" outline="0">
        <left style="medium">
          <color indexed="64"/>
        </left>
        <right/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protection locked="1" hidden="1"/>
    </dxf>
    <dxf>
      <border>
        <top style="medium">
          <color indexed="64"/>
        </top>
      </border>
    </dxf>
    <dxf>
      <font>
        <strike val="0"/>
        <outline val="0"/>
        <shadow val="0"/>
        <u val="none"/>
        <vertAlign val="baseline"/>
        <sz val="12"/>
        <color auto="1"/>
        <name val="Calibri"/>
        <scheme val="minor"/>
      </font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sz val="12"/>
        <color auto="1"/>
        <name val="Calibri"/>
        <scheme val="minor"/>
      </font>
    </dxf>
    <dxf>
      <numFmt numFmtId="14" formatCode="0.00%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rgb="FFFFFF00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4" formatCode="0.00%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right style="thin">
          <color rgb="FF000000"/>
        </right>
        <top style="thin">
          <color rgb="FF000000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bottom" textRotation="0" wrapText="1" indent="0" justifyLastLine="0" shrinkToFit="0" readingOrder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rgb="FFFFFF00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theme="1"/>
        </top>
        <bottom style="thin">
          <color indexed="64"/>
        </bottom>
      </border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pivotCacheDefinition" Target="pivotCache/pivotCacheDefinition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3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Excel Services" refreshedDate="45397.587464930555" createdVersion="6" refreshedVersion="8" minRefreshableVersion="3" recordCount="461" xr:uid="{00000000-000A-0000-FFFF-FFFF00000000}">
  <cacheSource type="worksheet">
    <worksheetSource name="Table2"/>
  </cacheSource>
  <cacheFields count="32">
    <cacheField name="Comments" numFmtId="0">
      <sharedItems containsBlank="1"/>
    </cacheField>
    <cacheField name="Course Title" numFmtId="0">
      <sharedItems containsBlank="1"/>
    </cacheField>
    <cacheField name="CIN" numFmtId="0">
      <sharedItems/>
    </cacheField>
    <cacheField name="CDP " numFmtId="0">
      <sharedItems containsMixedTypes="1" containsNumber="1" containsInteger="1" minValue="1228" maxValue="5891"/>
    </cacheField>
    <cacheField name="Location" numFmtId="0">
      <sharedItems containsBlank="1"/>
    </cacheField>
    <cacheField name="Start Date" numFmtId="14">
      <sharedItems containsNonDate="0" containsDate="1" containsString="0" containsBlank="1" minDate="2023-10-02T00:00:00" maxDate="2024-09-28T00:00:00"/>
    </cacheField>
    <cacheField name="End Date" numFmtId="14">
      <sharedItems containsNonDate="0" containsDate="1" containsString="0" containsBlank="1" minDate="2023-10-04T00:00:00" maxDate="2024-09-28T00:00:00"/>
    </cacheField>
    <cacheField name="Resident Local Start Time of location" numFmtId="0">
      <sharedItems containsDate="1" containsBlank="1" containsMixedTypes="1" minDate="1899-12-30T00:00:00" maxDate="1902-03-11T00:00:00"/>
    </cacheField>
    <cacheField name="EST/EDT Local Live Session Start Time " numFmtId="0">
      <sharedItems containsNonDate="0" containsDate="1" containsString="0" containsBlank="1" minDate="1899-12-30T00:00:00" maxDate="1903-01-04T11:00:00"/>
    </cacheField>
    <cacheField name="PST/PDT Local Live Session Start Time " numFmtId="0">
      <sharedItems containsNonDate="0" containsDate="1" containsString="0" containsBlank="1" minDate="1899-12-30T00:00:00" maxDate="1903-01-04T08:00:00"/>
    </cacheField>
    <cacheField name="AST Local Live Session Start Time " numFmtId="0">
      <sharedItems containsNonDate="0" containsDate="1" containsString="0" containsBlank="1" minDate="1899-12-30T00:00:00" maxDate="1899-12-30T21:00:00"/>
    </cacheField>
    <cacheField name="CET/CEST Local Live Session Start Time " numFmtId="0">
      <sharedItems containsNonDate="0" containsDate="1" containsString="0" containsBlank="1" minDate="1899-12-30T00:00:00" maxDate="1899-12-30T23:00:00"/>
    </cacheField>
    <cacheField name="HST Local Live Session Start Time " numFmtId="0">
      <sharedItems containsNonDate="0" containsDate="1" containsString="0" containsBlank="1" minDate="1899-12-30T00:00:00" maxDate="1899-12-30T21:00:00"/>
    </cacheField>
    <cacheField name="JST Local Live Session Start Time " numFmtId="0">
      <sharedItems containsNonDate="0" containsDate="1" containsString="0" containsBlank="1" minDate="1899-12-30T00:00:00" maxDate="1899-12-30T23:00:00"/>
    </cacheField>
    <cacheField name="Primary Instructor" numFmtId="0">
      <sharedItems containsBlank="1"/>
    </cacheField>
    <cacheField name="Instructor 2" numFmtId="0">
      <sharedItems containsBlank="1"/>
    </cacheField>
    <cacheField name="Survey" numFmtId="0">
      <sharedItems containsBlank="1"/>
    </cacheField>
    <cacheField name="Survey Results" numFmtId="0">
      <sharedItems containsBlank="1"/>
    </cacheField>
    <cacheField name="Contract Cost" numFmtId="0">
      <sharedItems containsString="0" containsBlank="1" containsNumber="1" containsInteger="1" minValue="0" maxValue="0"/>
    </cacheField>
    <cacheField name="Travel Cost" numFmtId="0">
      <sharedItems containsString="0" containsBlank="1" containsNumber="1" containsInteger="1" minValue="0" maxValue="0"/>
    </cacheField>
    <cacheField name="Material Cost" numFmtId="0">
      <sharedItems containsString="0" containsBlank="1" containsNumber="1" containsInteger="1" minValue="0" maxValue="0"/>
    </cacheField>
    <cacheField name="Quotas" numFmtId="0">
      <sharedItems containsString="0" containsBlank="1" containsNumber="1" containsInteger="1" minValue="0" maxValue="100"/>
    </cacheField>
    <cacheField name="Course Length (Days)" numFmtId="0">
      <sharedItems containsString="0" containsBlank="1" containsNumber="1" containsInteger="1" minValue="0" maxValue="5"/>
    </cacheField>
    <cacheField name="Graduates" numFmtId="0">
      <sharedItems containsString="0" containsBlank="1" containsNumber="1" containsInteger="1" minValue="0" maxValue="96"/>
    </cacheField>
    <cacheField name="Fail" numFmtId="0">
      <sharedItems containsString="0" containsBlank="1" containsNumber="1" containsInteger="1" minValue="0" maxValue="10"/>
    </cacheField>
    <cacheField name="No Shows" numFmtId="0">
      <sharedItems containsString="0" containsBlank="1" containsNumber="1" containsInteger="1" minValue="0" maxValue="22"/>
    </cacheField>
    <cacheField name="Walk-ins" numFmtId="0">
      <sharedItems containsString="0" containsBlank="1" containsNumber="1" containsInteger="1" minValue="0" maxValue="25"/>
    </cacheField>
    <cacheField name="Foreign Grads" numFmtId="0">
      <sharedItems containsString="0" containsBlank="1" containsNumber="1" containsInteger="1" minValue="0" maxValue="33"/>
    </cacheField>
    <cacheField name="Roster Received By" numFmtId="0">
      <sharedItems containsBlank="1" count="11">
        <s v="ABE3 Park"/>
        <s v="Bearup, Angie"/>
        <s v="OS2 Zapata "/>
        <s v="Weaver, Nicole"/>
        <s v="Benzick, Sue"/>
        <s v="Carter, Amanda"/>
        <m/>
        <s v="ABH3 Sutherland"/>
        <s v="Fenner, Kalihma" u="1"/>
        <s v="Park" u="1"/>
        <s v="Stowe" u="1"/>
      </sharedItems>
    </cacheField>
    <cacheField name="Roster Due" numFmtId="0">
      <sharedItems containsString="0" containsBlank="1" containsNumber="1" containsInteger="1" minValue="-45395" maxValue="167"/>
    </cacheField>
    <cacheField name="Roster Status" numFmtId="0">
      <sharedItems containsString="0" containsBlank="1" containsNumber="1" containsInteger="1" minValue="0" maxValue="1"/>
    </cacheField>
    <cacheField name="Remaining Courses" numFmtId="0">
      <sharedItems containsString="0" containsBlank="1" containsNumber="1" containsInteger="1" minValue="0" maxValue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61">
  <r>
    <m/>
    <s v="Afloat Environmental Protection Coordinator (Global Online) "/>
    <s v="A-4J-0022"/>
    <s v="09ER"/>
    <s v="Global Online"/>
    <d v="2023-10-02T00:00:00"/>
    <d v="2023-10-06T00:00:00"/>
    <m/>
    <d v="1899-12-30T13:00:00"/>
    <d v="1899-12-30T10:00:00"/>
    <d v="1899-12-30T20:00:00"/>
    <d v="1899-12-30T19:00:00"/>
    <d v="1899-12-30T07:00:00"/>
    <d v="1899-12-30T02:00:00"/>
    <s v="BMC Sosaya"/>
    <s v="K. Seo"/>
    <e v="#REF!"/>
    <e v="#REF!"/>
    <m/>
    <m/>
    <m/>
    <n v="45"/>
    <n v="5"/>
    <n v="20"/>
    <n v="0"/>
    <n v="7"/>
    <n v="1"/>
    <n v="0"/>
    <x v="0"/>
    <n v="-190"/>
    <n v="0"/>
    <n v="0"/>
  </r>
  <r>
    <s v="Special-CNAL"/>
    <s v="Competent Person for Fall Protection Course (Resident)"/>
    <s v="A-493-0103"/>
    <s v="12JY"/>
    <s v="Norfolk, VA Classroom 2"/>
    <d v="2023-10-02T00:00:00"/>
    <d v="2023-10-06T00:00:00"/>
    <d v="1899-12-30T08:00:00"/>
    <m/>
    <m/>
    <m/>
    <m/>
    <m/>
    <m/>
    <s v="SOH Contractor"/>
    <m/>
    <e v="#REF!"/>
    <e v="#REF!"/>
    <m/>
    <m/>
    <m/>
    <n v="25"/>
    <n v="5"/>
    <n v="17"/>
    <n v="0"/>
    <n v="10"/>
    <n v="3"/>
    <n v="0"/>
    <x v="1"/>
    <n v="-190"/>
    <n v="0"/>
    <n v="0"/>
  </r>
  <r>
    <m/>
    <s v="Confined Space Safety"/>
    <s v="A-493-0030"/>
    <s v="286X"/>
    <s v="Norfolk, VA Classroom 1"/>
    <d v="2023-10-02T00:00:00"/>
    <d v="2023-10-06T00:00:00"/>
    <d v="1899-12-30T08:00:00"/>
    <m/>
    <m/>
    <m/>
    <m/>
    <m/>
    <m/>
    <s v="IH Contractor"/>
    <m/>
    <e v="#REF!"/>
    <e v="#REF!"/>
    <m/>
    <m/>
    <m/>
    <n v="25"/>
    <n v="5"/>
    <n v="8"/>
    <n v="1"/>
    <n v="14"/>
    <n v="1"/>
    <n v="0"/>
    <x v="2"/>
    <n v="-190"/>
    <n v="0"/>
    <n v="0"/>
  </r>
  <r>
    <m/>
    <s v="Introduction to Naval Safety and Occupational Health (Global Online) "/>
    <s v="A-493-0550"/>
    <s v="09K5"/>
    <s v="Global Online"/>
    <d v="2023-10-02T00:00:00"/>
    <d v="2023-10-06T00:00:00"/>
    <m/>
    <d v="1899-12-30T13:00:00"/>
    <d v="1899-12-30T10:00:00"/>
    <d v="1899-12-30T20:00:00"/>
    <d v="1899-12-30T19:00:00"/>
    <d v="1899-12-30T07:00:00"/>
    <d v="1899-12-30T02:00:00"/>
    <s v="D. Rodriguez"/>
    <m/>
    <e v="#REF!"/>
    <e v="#REF!"/>
    <m/>
    <m/>
    <m/>
    <n v="45"/>
    <n v="4"/>
    <n v="39"/>
    <n v="0"/>
    <n v="7"/>
    <n v="2"/>
    <n v="0"/>
    <x v="2"/>
    <n v="-190"/>
    <n v="0"/>
    <n v="0"/>
  </r>
  <r>
    <m/>
    <s v="Mishap Investigation (Global Online) "/>
    <s v="A-493-0078"/>
    <n v="1228"/>
    <s v="Global Online"/>
    <d v="2023-10-02T00:00:00"/>
    <d v="2023-10-06T00:00:00"/>
    <m/>
    <d v="1899-12-30T08:00:00"/>
    <d v="1899-12-30T05:00:00"/>
    <d v="1899-12-30T15:00:00"/>
    <d v="1899-12-30T14:00:00"/>
    <d v="1899-12-30T02:00:00"/>
    <d v="1899-12-30T21:00:00"/>
    <s v="T. White"/>
    <m/>
    <e v="#REF!"/>
    <e v="#REF!"/>
    <m/>
    <m/>
    <m/>
    <n v="45"/>
    <n v="5"/>
    <n v="38"/>
    <n v="1"/>
    <n v="6"/>
    <n v="0"/>
    <n v="0"/>
    <x v="2"/>
    <n v="-190"/>
    <n v="0"/>
    <n v="0"/>
  </r>
  <r>
    <m/>
    <s v="Navy Ergonomics Program (Global Online)"/>
    <s v="A-493-0085"/>
    <n v="3555"/>
    <s v="Global Online"/>
    <d v="2023-10-02T00:00:00"/>
    <d v="2023-10-05T00:00:00"/>
    <m/>
    <d v="1899-12-30T12:00:00"/>
    <d v="1899-12-30T09:00:00"/>
    <d v="1899-12-30T19:00:00"/>
    <d v="1899-12-30T17:00:00"/>
    <d v="1899-12-30T06:00:00"/>
    <d v="1899-12-30T01:00:00"/>
    <s v="B. Jung"/>
    <s v="W. Mitchell"/>
    <e v="#REF!"/>
    <e v="#REF!"/>
    <m/>
    <m/>
    <m/>
    <n v="30"/>
    <n v="4"/>
    <n v="22"/>
    <n v="1"/>
    <n v="7"/>
    <n v="0"/>
    <n v="0"/>
    <x v="3"/>
    <n v="-191"/>
    <n v="0"/>
    <n v="0"/>
  </r>
  <r>
    <m/>
    <s v="Respiratory Protection Program Management"/>
    <s v="A-493-0072"/>
    <s v="713U"/>
    <s v="Norfolk, VA Other"/>
    <d v="2023-10-02T00:00:00"/>
    <d v="2023-10-05T00:00:00"/>
    <d v="1899-12-30T08:00:00"/>
    <m/>
    <m/>
    <m/>
    <m/>
    <m/>
    <m/>
    <s v="B. Winslow"/>
    <s v="K. Seo"/>
    <e v="#REF!"/>
    <e v="#REF!"/>
    <m/>
    <m/>
    <m/>
    <n v="30"/>
    <n v="4"/>
    <n v="23"/>
    <n v="0"/>
    <n v="10"/>
    <n v="3"/>
    <n v="0"/>
    <x v="3"/>
    <n v="-191"/>
    <n v="0"/>
    <n v="0"/>
  </r>
  <r>
    <m/>
    <s v="Hazardous Substance Incident Response Management (HSIRM)"/>
    <s v="A-493-0077"/>
    <s v="0381"/>
    <s v="Sigonella, Italy"/>
    <d v="2023-10-02T00:00:00"/>
    <d v="2023-10-04T00:00:00"/>
    <d v="1899-12-30T08:00:00"/>
    <m/>
    <m/>
    <m/>
    <m/>
    <m/>
    <m/>
    <s v="ENV Contractor"/>
    <m/>
    <m/>
    <m/>
    <m/>
    <m/>
    <m/>
    <n v="25"/>
    <n v="3"/>
    <n v="25"/>
    <n v="1"/>
    <n v="5"/>
    <n v="23"/>
    <n v="0"/>
    <x v="4"/>
    <n v="-192"/>
    <n v="0"/>
    <n v="0"/>
  </r>
  <r>
    <m/>
    <s v="Hazardous Substance Incident Response Management (HSIRM) Refresher"/>
    <s v="A-493-0083"/>
    <s v="339E"/>
    <s v="Sigonella, Italy"/>
    <d v="2023-10-05T00:00:00"/>
    <d v="2023-10-05T00:00:00"/>
    <d v="1899-12-30T08:00:00"/>
    <m/>
    <m/>
    <m/>
    <m/>
    <m/>
    <m/>
    <s v="ENV Contractor"/>
    <m/>
    <m/>
    <m/>
    <m/>
    <m/>
    <m/>
    <n v="30"/>
    <n v="1"/>
    <n v="6"/>
    <n v="0"/>
    <n v="0"/>
    <n v="5"/>
    <n v="0"/>
    <x v="0"/>
    <n v="-191"/>
    <n v="0"/>
    <n v="0"/>
  </r>
  <r>
    <s v="Columbus Day"/>
    <s v="Holiday"/>
    <s v="Holiday"/>
    <s v="Holiday"/>
    <m/>
    <d v="2023-10-09T00:00:00"/>
    <d v="2023-10-09T00:00:00"/>
    <d v="1899-12-30T00:00:00"/>
    <d v="1899-12-30T00:00:00"/>
    <d v="1899-12-30T00:00:00"/>
    <d v="1899-12-30T00:00:00"/>
    <d v="1899-12-30T00:00:00"/>
    <d v="1899-12-30T00:00:00"/>
    <d v="1899-12-30T00:00:00"/>
    <m/>
    <m/>
    <e v="#REF!"/>
    <e v="#REF!"/>
    <n v="0"/>
    <n v="0"/>
    <n v="0"/>
    <n v="0"/>
    <n v="0"/>
    <n v="0"/>
    <n v="0"/>
    <n v="0"/>
    <n v="0"/>
    <n v="0"/>
    <x v="5"/>
    <n v="-187"/>
    <n v="0"/>
    <n v="0"/>
  </r>
  <r>
    <m/>
    <s v="Asbestos Supervisor Refresher"/>
    <s v="A-493-0070"/>
    <s v="450V"/>
    <s v="Norfolk, VA Classroom 2"/>
    <d v="2023-10-11T00:00:00"/>
    <d v="2023-10-11T00:00:00"/>
    <d v="1899-12-30T08:00:00"/>
    <m/>
    <m/>
    <m/>
    <m/>
    <m/>
    <m/>
    <s v="A. Harris"/>
    <s v="B. Winslow"/>
    <e v="#REF!"/>
    <e v="#REF!"/>
    <m/>
    <m/>
    <m/>
    <n v="30"/>
    <n v="1"/>
    <n v="14"/>
    <n v="0"/>
    <n v="2"/>
    <n v="0"/>
    <n v="0"/>
    <x v="3"/>
    <n v="-185"/>
    <n v="0"/>
    <n v="0"/>
  </r>
  <r>
    <m/>
    <s v="Asbestos Inspector Refresher"/>
    <s v="A-493-0015"/>
    <n v="3879"/>
    <s v="Norfolk, VA Classroom 2"/>
    <d v="2023-10-12T00:00:00"/>
    <d v="2023-10-12T00:00:00"/>
    <d v="1899-12-30T08:00:00"/>
    <m/>
    <m/>
    <m/>
    <m/>
    <m/>
    <m/>
    <s v="A. Harris"/>
    <s v="B. Winslow"/>
    <e v="#REF!"/>
    <e v="#REF!"/>
    <m/>
    <m/>
    <m/>
    <n v="30"/>
    <n v="1"/>
    <n v="17"/>
    <n v="0"/>
    <n v="0"/>
    <n v="0"/>
    <n v="0"/>
    <x v="3"/>
    <n v="-184"/>
    <n v="0"/>
    <n v="0"/>
  </r>
  <r>
    <m/>
    <s v="Asbestos Management Planner Refresher"/>
    <s v="A-493-0020"/>
    <n v="3888"/>
    <s v="Norfolk, VA Classroom 2"/>
    <d v="2023-10-12T00:00:00"/>
    <d v="2023-10-12T00:00:00"/>
    <d v="1899-12-30T12:00:00"/>
    <m/>
    <m/>
    <m/>
    <m/>
    <m/>
    <m/>
    <s v="B. Jung"/>
    <s v="B. Winslow"/>
    <e v="#REF!"/>
    <e v="#REF!"/>
    <m/>
    <m/>
    <m/>
    <n v="30"/>
    <n v="1"/>
    <n v="6"/>
    <n v="0"/>
    <n v="0"/>
    <n v="0"/>
    <n v="0"/>
    <x v="3"/>
    <n v="-184"/>
    <n v="0"/>
    <n v="0"/>
  </r>
  <r>
    <s v="NSETC Staff Training Day"/>
    <s v="Classroom Reserved"/>
    <s v="NA"/>
    <s v="NA"/>
    <s v="Norfolk, VA Classroom 1"/>
    <d v="2023-10-12T00:00:00"/>
    <d v="2023-10-12T00:00:00"/>
    <d v="1899-12-30T00:00:00"/>
    <d v="1899-12-30T00:00:00"/>
    <d v="1899-12-30T00:00:00"/>
    <d v="1899-12-30T00:00:00"/>
    <d v="1899-12-30T00:00:00"/>
    <d v="1899-12-30T00:00:00"/>
    <d v="1899-12-30T00:00:00"/>
    <m/>
    <m/>
    <m/>
    <m/>
    <m/>
    <m/>
    <m/>
    <n v="0"/>
    <n v="0"/>
    <n v="0"/>
    <n v="0"/>
    <n v="0"/>
    <n v="0"/>
    <n v="0"/>
    <x v="5"/>
    <n v="-184"/>
    <n v="0"/>
    <n v="0"/>
  </r>
  <r>
    <m/>
    <s v="Asbestos Supervisor Initial"/>
    <s v="A-493-0069"/>
    <s v="450U"/>
    <s v="Norfolk, VA Classroom 2"/>
    <d v="2023-10-16T00:00:00"/>
    <d v="2023-10-20T00:00:00"/>
    <d v="1899-12-30T08:00:00"/>
    <m/>
    <m/>
    <m/>
    <m/>
    <m/>
    <m/>
    <s v="A. Harris"/>
    <s v="B. Winslow"/>
    <e v="#REF!"/>
    <e v="#REF!"/>
    <m/>
    <m/>
    <m/>
    <n v="25"/>
    <n v="5"/>
    <n v="7"/>
    <n v="0"/>
    <n v="3"/>
    <n v="1"/>
    <n v="0"/>
    <x v="3"/>
    <n v="-176"/>
    <n v="0"/>
    <n v="0"/>
  </r>
  <r>
    <s v="Special-Shift from Mayport"/>
    <s v="Competent Person for Fall Protection Course (Resident)"/>
    <s v="A-493-0103"/>
    <s v="12JY"/>
    <s v="Norfolk, VA Classroom 2"/>
    <d v="2023-10-16T00:00:00"/>
    <d v="2023-10-20T00:00:00"/>
    <d v="1899-12-30T08:00:00"/>
    <m/>
    <m/>
    <m/>
    <m/>
    <m/>
    <m/>
    <s v="SOH Contractor"/>
    <m/>
    <e v="#REF!"/>
    <e v="#REF!"/>
    <m/>
    <m/>
    <m/>
    <n v="25"/>
    <n v="5"/>
    <n v="22"/>
    <n v="0"/>
    <n v="9"/>
    <n v="0"/>
    <n v="0"/>
    <x v="1"/>
    <n v="-176"/>
    <n v="0"/>
    <n v="0"/>
  </r>
  <r>
    <m/>
    <s v="Introduction to Naval Safety and Occupational Health (Global Online) "/>
    <s v="A-493-0550"/>
    <s v="09K5"/>
    <s v="Global Online"/>
    <d v="2023-10-16T00:00:00"/>
    <d v="2023-10-20T00:00:00"/>
    <m/>
    <d v="1899-12-30T10:00:00"/>
    <d v="1899-12-30T07:00:00"/>
    <d v="1899-12-30T17:00:00"/>
    <d v="1899-12-30T16:00:00"/>
    <d v="1899-12-30T04:00:00"/>
    <d v="1899-12-30T23:00:00"/>
    <s v="D. Rodriguez"/>
    <m/>
    <e v="#REF!"/>
    <e v="#REF!"/>
    <m/>
    <m/>
    <m/>
    <n v="45"/>
    <n v="4"/>
    <n v="40"/>
    <n v="2"/>
    <n v="5"/>
    <n v="0"/>
    <n v="0"/>
    <x v="2"/>
    <n v="-176"/>
    <n v="0"/>
    <n v="0"/>
  </r>
  <r>
    <m/>
    <s v="Mishap Investigation (Global Online) "/>
    <s v="A-493-0078"/>
    <n v="1228"/>
    <s v="Global Online"/>
    <d v="2023-10-16T00:00:00"/>
    <d v="2023-10-20T00:00:00"/>
    <m/>
    <d v="1899-12-30T06:00:00"/>
    <d v="1899-12-30T03:00:00"/>
    <d v="1899-12-30T13:00:00"/>
    <d v="1899-12-30T12:00:00"/>
    <d v="1899-12-30T00:00:00"/>
    <d v="1899-12-30T19:00:00"/>
    <s v="T. White"/>
    <m/>
    <e v="#REF!"/>
    <e v="#REF!"/>
    <m/>
    <m/>
    <m/>
    <n v="45"/>
    <n v="5"/>
    <n v="42"/>
    <n v="0"/>
    <n v="4"/>
    <n v="0"/>
    <n v="0"/>
    <x v="2"/>
    <n v="-176"/>
    <n v="0"/>
    <n v="0"/>
  </r>
  <r>
    <m/>
    <s v="Operational Risk Management Application &amp; Integration (Global Online)"/>
    <s v="A-570-0100"/>
    <s v="18B7"/>
    <s v="Global Online"/>
    <d v="2023-10-16T00:00:00"/>
    <d v="2023-10-19T00:00:00"/>
    <m/>
    <d v="1899-12-30T13:00:00"/>
    <d v="1899-12-30T10:00:00"/>
    <d v="1899-12-30T20:00:00"/>
    <d v="1899-12-30T19:00:00"/>
    <d v="1899-12-30T07:00:00"/>
    <d v="1899-12-30T02:00:00"/>
    <s v="BMC Sosaya"/>
    <m/>
    <e v="#REF!"/>
    <e v="#REF!"/>
    <m/>
    <m/>
    <m/>
    <n v="30"/>
    <n v="4"/>
    <n v="25"/>
    <n v="1"/>
    <n v="4"/>
    <n v="2"/>
    <n v="0"/>
    <x v="3"/>
    <n v="-177"/>
    <n v="0"/>
    <n v="0"/>
  </r>
  <r>
    <m/>
    <s v="Fall Protection Program Manager Course (Global Online)"/>
    <s v="A-493-0099"/>
    <s v="12JW"/>
    <s v="Global Online"/>
    <d v="2023-10-17T00:00:00"/>
    <d v="2023-10-19T00:00:00"/>
    <m/>
    <d v="1899-12-30T10:00:00"/>
    <d v="1899-12-30T07:00:00"/>
    <d v="1899-12-30T17:00:00"/>
    <d v="1899-12-30T16:00:00"/>
    <d v="1899-12-30T04:00:00"/>
    <d v="1899-12-30T23:00:00"/>
    <s v="V. Kentish"/>
    <m/>
    <e v="#REF!"/>
    <e v="#REF!"/>
    <m/>
    <m/>
    <m/>
    <n v="45"/>
    <n v="3"/>
    <n v="32"/>
    <n v="0"/>
    <n v="10"/>
    <n v="0"/>
    <n v="0"/>
    <x v="1"/>
    <n v="-177"/>
    <n v="0"/>
    <n v="0"/>
  </r>
  <r>
    <m/>
    <s v="Asbestos Inspector"/>
    <s v="A-493-0014"/>
    <n v="3878"/>
    <s v="Norfolk, VA Classroom 1"/>
    <d v="2023-10-23T00:00:00"/>
    <d v="2023-10-25T00:00:00"/>
    <d v="1899-12-30T08:00:00"/>
    <m/>
    <m/>
    <m/>
    <m/>
    <m/>
    <m/>
    <s v="B. Jung"/>
    <s v="B. Winslow"/>
    <e v="#REF!"/>
    <e v="#REF!"/>
    <m/>
    <m/>
    <m/>
    <n v="25"/>
    <n v="3"/>
    <n v="17"/>
    <n v="0"/>
    <n v="1"/>
    <n v="2"/>
    <n v="0"/>
    <x v="3"/>
    <n v="-171"/>
    <n v="0"/>
    <n v="0"/>
  </r>
  <r>
    <m/>
    <s v="Submarine Safety Officer (Global Online) "/>
    <s v="F-4J-0023"/>
    <s v="11A2"/>
    <s v="Global Online"/>
    <d v="2023-10-23T00:00:00"/>
    <d v="2023-10-27T00:00:00"/>
    <m/>
    <d v="1899-12-30T08:00:00"/>
    <d v="1899-12-30T05:00:00"/>
    <d v="1899-12-30T15:00:00"/>
    <d v="1899-12-30T14:00:00"/>
    <d v="1899-12-30T02:00:00"/>
    <d v="1899-12-30T21:00:00"/>
    <s v="LCDR Overton"/>
    <s v="LTJG Andrew"/>
    <e v="#REF!"/>
    <e v="#REF!"/>
    <m/>
    <m/>
    <m/>
    <n v="25"/>
    <n v="2"/>
    <n v="6"/>
    <n v="0"/>
    <n v="1"/>
    <n v="0"/>
    <n v="0"/>
    <x v="3"/>
    <n v="-169"/>
    <n v="0"/>
    <n v="0"/>
  </r>
  <r>
    <m/>
    <s v="Fire Protection and Life Safety"/>
    <s v="A-493-0075 "/>
    <s v="714U"/>
    <s v="Norfolk, VA Classroom 2"/>
    <d v="2023-10-24T00:00:00"/>
    <d v="2023-10-27T00:00:00"/>
    <d v="1899-12-30T08:00:00"/>
    <m/>
    <m/>
    <m/>
    <m/>
    <m/>
    <m/>
    <s v="SOH Contractor"/>
    <m/>
    <e v="#REF!"/>
    <e v="#REF!"/>
    <m/>
    <m/>
    <m/>
    <n v="30"/>
    <n v="4"/>
    <n v="6"/>
    <n v="0"/>
    <n v="2"/>
    <n v="0"/>
    <n v="0"/>
    <x v="1"/>
    <n v="-169"/>
    <n v="0"/>
    <n v="0"/>
  </r>
  <r>
    <m/>
    <s v="Introduction to Hazardous Materials [Ashore] (Global Online) "/>
    <s v="A-493-0331"/>
    <s v="10UG"/>
    <s v="Global Online"/>
    <d v="2023-10-24T00:00:00"/>
    <d v="2023-10-26T00:00:00"/>
    <m/>
    <d v="1899-12-30T08:00:00"/>
    <d v="1899-12-30T05:00:00"/>
    <d v="1899-12-30T15:00:00"/>
    <d v="1899-12-30T14:00:00"/>
    <d v="1899-12-30T02:00:00"/>
    <d v="1899-12-30T21:00:00"/>
    <s v="W. Mitchell"/>
    <s v="A. Harris"/>
    <e v="#REF!"/>
    <e v="#REF!"/>
    <m/>
    <m/>
    <m/>
    <n v="40"/>
    <n v="3"/>
    <n v="35"/>
    <n v="2"/>
    <n v="7"/>
    <n v="0"/>
    <n v="0"/>
    <x v="3"/>
    <n v="-170"/>
    <n v="0"/>
    <n v="0"/>
  </r>
  <r>
    <m/>
    <s v="Asbestos Management Planner "/>
    <s v="A-493-0019"/>
    <n v="3882"/>
    <s v="Norfolk, VA Classroom 1"/>
    <d v="2023-10-26T00:00:00"/>
    <d v="2023-10-27T00:00:00"/>
    <d v="1899-12-30T08:00:00"/>
    <m/>
    <m/>
    <m/>
    <m/>
    <m/>
    <m/>
    <s v="B. Jung"/>
    <s v="B. Winslow"/>
    <e v="#REF!"/>
    <e v="#REF!"/>
    <m/>
    <m/>
    <m/>
    <n v="25"/>
    <n v="2"/>
    <n v="11"/>
    <n v="0"/>
    <n v="0"/>
    <n v="2"/>
    <n v="0"/>
    <x v="3"/>
    <n v="-169"/>
    <n v="0"/>
    <n v="0"/>
  </r>
  <r>
    <m/>
    <s v="General Industry Safety Standards (Global Online) "/>
    <s v="A-493-0061"/>
    <s v="288E"/>
    <s v="Global Online"/>
    <d v="2023-10-30T00:00:00"/>
    <d v="2023-11-03T00:00:00"/>
    <m/>
    <d v="1899-12-30T06:00:00"/>
    <d v="1899-12-30T03:00:00"/>
    <d v="1899-12-30T13:00:00"/>
    <d v="1899-12-30T12:00:00"/>
    <d v="1899-12-30T00:00:00"/>
    <d v="1899-12-30T19:00:00"/>
    <s v="S. Griffin"/>
    <m/>
    <e v="#REF!"/>
    <e v="#REF!"/>
    <m/>
    <m/>
    <m/>
    <n v="45"/>
    <n v="5"/>
    <n v="37"/>
    <n v="1"/>
    <n v="6"/>
    <n v="0"/>
    <n v="0"/>
    <x v="1"/>
    <n v="-162"/>
    <n v="0"/>
    <n v="0"/>
  </r>
  <r>
    <m/>
    <s v="Introduction to Industrial Hygiene for Safety Professionals (Global Online) "/>
    <s v="A-493-0335"/>
    <s v="09ND"/>
    <s v="Global Online"/>
    <d v="2023-10-30T00:00:00"/>
    <d v="2023-11-02T00:00:00"/>
    <m/>
    <d v="1899-12-30T12:00:00"/>
    <d v="1899-12-30T09:00:00"/>
    <d v="1899-12-30T19:00:00"/>
    <d v="1899-12-30T18:00:00"/>
    <d v="1899-12-30T06:00:00"/>
    <d v="1899-12-30T01:00:00"/>
    <s v="A. Harris"/>
    <m/>
    <e v="#REF!"/>
    <e v="#REF!"/>
    <m/>
    <m/>
    <m/>
    <n v="30"/>
    <n v="4"/>
    <n v="25"/>
    <n v="0"/>
    <n v="6"/>
    <n v="0"/>
    <n v="0"/>
    <x v="3"/>
    <n v="-163"/>
    <n v="0"/>
    <n v="0"/>
  </r>
  <r>
    <m/>
    <s v="Introduction to Naval Safety and Occupational Health (Global Online) "/>
    <s v="A-493-0550"/>
    <s v="09K5"/>
    <s v="Global Online"/>
    <d v="2023-10-30T00:00:00"/>
    <d v="2023-11-03T00:00:00"/>
    <m/>
    <d v="1899-12-30T06:00:00"/>
    <d v="1899-12-30T03:00:00"/>
    <d v="1899-12-30T13:00:00"/>
    <d v="1899-12-30T12:00:00"/>
    <d v="1899-12-30T00:00:00"/>
    <d v="1899-12-30T19:00:00"/>
    <s v="D. Rodriguez"/>
    <m/>
    <e v="#REF!"/>
    <e v="#REF!"/>
    <m/>
    <m/>
    <m/>
    <n v="45"/>
    <n v="4"/>
    <n v="31"/>
    <n v="0"/>
    <n v="14"/>
    <n v="0"/>
    <n v="0"/>
    <x v="1"/>
    <n v="-162"/>
    <n v="0"/>
    <n v="0"/>
  </r>
  <r>
    <m/>
    <s v="Mishap Investigation (Global Online) "/>
    <s v="A-493-0078"/>
    <n v="1228"/>
    <s v="Global Online"/>
    <d v="2023-10-30T00:00:00"/>
    <d v="2023-11-03T00:00:00"/>
    <m/>
    <d v="1899-12-30T10:00:00"/>
    <d v="1899-12-30T07:00:00"/>
    <d v="1899-12-30T17:00:00"/>
    <d v="1899-12-30T16:00:00"/>
    <d v="1899-12-30T04:00:00"/>
    <d v="1899-12-30T23:00:00"/>
    <s v="T. White"/>
    <m/>
    <e v="#REF!"/>
    <e v="#REF!"/>
    <m/>
    <m/>
    <m/>
    <n v="45"/>
    <n v="5"/>
    <n v="39"/>
    <n v="1"/>
    <n v="5"/>
    <n v="0"/>
    <n v="0"/>
    <x v="1"/>
    <n v="-162"/>
    <n v="0"/>
    <n v="0"/>
  </r>
  <r>
    <m/>
    <s v="Respiratory Protection Program Management"/>
    <s v="A-493-0072"/>
    <s v="713U"/>
    <s v="Norfolk, VA Classroom 1"/>
    <d v="2023-10-30T00:00:00"/>
    <d v="2023-11-02T00:00:00"/>
    <d v="1899-12-30T08:00:00"/>
    <m/>
    <m/>
    <m/>
    <m/>
    <m/>
    <m/>
    <s v="B. Winslow"/>
    <s v="W. Mitchell"/>
    <e v="#REF!"/>
    <e v="#REF!"/>
    <m/>
    <m/>
    <m/>
    <n v="30"/>
    <n v="4"/>
    <n v="26"/>
    <n v="0"/>
    <n v="4"/>
    <n v="3"/>
    <n v="0"/>
    <x v="3"/>
    <n v="-163"/>
    <n v="0"/>
    <n v="0"/>
  </r>
  <r>
    <m/>
    <s v="Fall Protection Program Manager Course (Global Online)"/>
    <s v="A-493-0099"/>
    <s v="12JW"/>
    <s v="Global Online"/>
    <d v="2023-10-31T00:00:00"/>
    <d v="2023-11-02T00:00:00"/>
    <m/>
    <d v="1899-12-30T13:00:00"/>
    <d v="1899-12-30T10:00:00"/>
    <d v="1899-12-30T20:00:00"/>
    <d v="1899-12-30T19:00:00"/>
    <d v="1899-12-30T07:00:00"/>
    <d v="1899-12-30T02:00:00"/>
    <s v="V. Kentish"/>
    <m/>
    <e v="#REF!"/>
    <e v="#REF!"/>
    <m/>
    <m/>
    <m/>
    <n v="45"/>
    <n v="3"/>
    <n v="32"/>
    <n v="0"/>
    <n v="13"/>
    <n v="0"/>
    <n v="0"/>
    <x v="1"/>
    <n v="-163"/>
    <n v="0"/>
    <n v="0"/>
  </r>
  <r>
    <m/>
    <s v="Afloat Environmental Protection Coordinator (Global Online) "/>
    <s v="A-4J-0022"/>
    <s v="09ER"/>
    <s v="Global Online"/>
    <d v="2023-11-06T00:00:00"/>
    <d v="2023-11-10T00:00:00"/>
    <m/>
    <d v="1899-12-30T08:00:00"/>
    <d v="1899-12-30T05:00:00"/>
    <d v="1899-12-30T16:00:00"/>
    <d v="1899-12-30T14:00:00"/>
    <d v="1899-12-30T03:00:00"/>
    <d v="1899-12-30T22:00:00"/>
    <s v="BMC Sosaya"/>
    <s v="K. Seo"/>
    <e v="#REF!"/>
    <e v="#REF!"/>
    <m/>
    <m/>
    <m/>
    <n v="45"/>
    <n v="5"/>
    <n v="24"/>
    <n v="1"/>
    <n v="5"/>
    <n v="0"/>
    <n v="0"/>
    <x v="4"/>
    <n v="-155"/>
    <n v="0"/>
    <n v="0"/>
  </r>
  <r>
    <s v="NPASE C School POC: LT Houston"/>
    <s v="Classroom Reserved"/>
    <s v="NA"/>
    <s v="NA"/>
    <s v="Norfolk, VA Classroom 1"/>
    <d v="2023-11-06T00:00:00"/>
    <d v="2023-11-17T00:00:00"/>
    <d v="1899-12-30T00:00:00"/>
    <d v="1899-12-30T00:00:00"/>
    <d v="1899-12-30T00:00:00"/>
    <d v="1899-12-30T00:00:00"/>
    <d v="1899-12-30T00:00:00"/>
    <d v="1899-12-30T00:00:00"/>
    <d v="1899-12-30T00:00:00"/>
    <m/>
    <m/>
    <m/>
    <m/>
    <m/>
    <m/>
    <m/>
    <n v="0"/>
    <n v="0"/>
    <n v="0"/>
    <n v="0"/>
    <n v="0"/>
    <n v="0"/>
    <n v="0"/>
    <x v="5"/>
    <n v="-148"/>
    <n v="0"/>
    <n v="0"/>
  </r>
  <r>
    <m/>
    <s v="Introduction to Hazardous Materials [Ashore] (Global Online) "/>
    <s v="A-493-0331"/>
    <s v="10UG"/>
    <s v="Global Online"/>
    <d v="2023-11-07T00:00:00"/>
    <d v="2023-11-09T00:00:00"/>
    <m/>
    <d v="1899-12-30T08:00:00"/>
    <d v="1899-12-30T05:00:00"/>
    <d v="1899-12-30T15:00:00"/>
    <d v="1899-12-30T14:00:00"/>
    <d v="1899-12-30T02:00:00"/>
    <d v="1899-12-30T21:00:00"/>
    <s v="W. Mitchell"/>
    <s v="B. Winslow"/>
    <m/>
    <m/>
    <m/>
    <m/>
    <m/>
    <n v="40"/>
    <n v="3"/>
    <n v="39"/>
    <n v="0"/>
    <n v="4"/>
    <n v="3"/>
    <n v="0"/>
    <x v="3"/>
    <n v="-156"/>
    <n v="0"/>
    <n v="0"/>
  </r>
  <r>
    <s v="Veterans Day"/>
    <s v="Holiday"/>
    <s v="Holiday"/>
    <s v="Holiday"/>
    <m/>
    <d v="2023-11-10T00:00:00"/>
    <d v="2023-11-10T00:00:00"/>
    <d v="1899-12-30T00:00:00"/>
    <d v="1899-12-30T08:00:00"/>
    <d v="1899-12-30T05:00:00"/>
    <d v="1899-12-30T15:00:00"/>
    <d v="1899-12-30T14:00:00"/>
    <d v="1899-12-30T02:00:00"/>
    <d v="1899-12-30T21:00:00"/>
    <m/>
    <m/>
    <e v="#REF!"/>
    <e v="#REF!"/>
    <n v="0"/>
    <n v="0"/>
    <n v="0"/>
    <n v="0"/>
    <n v="0"/>
    <n v="0"/>
    <n v="0"/>
    <n v="0"/>
    <n v="0"/>
    <n v="0"/>
    <x v="5"/>
    <n v="-155"/>
    <n v="0"/>
    <n v="0"/>
  </r>
  <r>
    <m/>
    <s v="Competent Person for Fall Protection Course (Resident)"/>
    <s v="A-493-0103"/>
    <s v="12JY"/>
    <s v="Coronado, CA"/>
    <d v="2023-11-13T00:00:00"/>
    <d v="2023-11-17T00:00:00"/>
    <d v="1899-12-30T08:00:00"/>
    <m/>
    <m/>
    <m/>
    <m/>
    <m/>
    <m/>
    <s v="SOH Contractor"/>
    <m/>
    <e v="#REF!"/>
    <e v="#REF!"/>
    <m/>
    <m/>
    <m/>
    <n v="25"/>
    <n v="5"/>
    <n v="13"/>
    <n v="0"/>
    <n v="12"/>
    <n v="1"/>
    <n v="0"/>
    <x v="1"/>
    <n v="-148"/>
    <n v="0"/>
    <n v="0"/>
  </r>
  <r>
    <m/>
    <s v="General Industry Safety Standards (Global Online) "/>
    <s v="A-493-0061"/>
    <s v="288E"/>
    <s v="Global Online"/>
    <d v="2023-11-13T00:00:00"/>
    <d v="2023-11-17T00:00:00"/>
    <m/>
    <d v="1899-12-30T10:00:00"/>
    <d v="1899-12-30T07:00:00"/>
    <d v="1899-12-30T18:00:00"/>
    <d v="1899-12-30T16:00:00"/>
    <d v="1899-12-30T05:00:00"/>
    <d v="1899-12-30T00:00:00"/>
    <s v="S. Griffin"/>
    <m/>
    <e v="#REF!"/>
    <e v="#REF!"/>
    <m/>
    <m/>
    <m/>
    <n v="45"/>
    <n v="5"/>
    <n v="39"/>
    <n v="0"/>
    <n v="5"/>
    <n v="0"/>
    <n v="0"/>
    <x v="1"/>
    <n v="-148"/>
    <n v="0"/>
    <n v="0"/>
  </r>
  <r>
    <m/>
    <s v="Introduction to Naval Safety and Occupational Health (Global Online) "/>
    <s v="A-493-0550"/>
    <s v="09K5"/>
    <s v="Global Online"/>
    <d v="2023-11-13T00:00:00"/>
    <d v="2023-11-17T00:00:00"/>
    <m/>
    <d v="1899-12-30T08:00:00"/>
    <d v="1899-12-30T05:00:00"/>
    <d v="1899-12-30T16:00:00"/>
    <d v="1899-12-30T14:00:00"/>
    <d v="1899-12-30T03:00:00"/>
    <d v="1899-12-30T22:00:00"/>
    <s v="D. Rodriguez"/>
    <m/>
    <e v="#REF!"/>
    <e v="#REF!"/>
    <m/>
    <m/>
    <m/>
    <n v="45"/>
    <n v="4"/>
    <n v="33"/>
    <n v="1"/>
    <n v="10"/>
    <n v="2"/>
    <n v="0"/>
    <x v="2"/>
    <n v="-148"/>
    <n v="0"/>
    <n v="0"/>
  </r>
  <r>
    <m/>
    <s v="Mishap Investigation (Global Online) "/>
    <s v="A-493-0078"/>
    <n v="1228"/>
    <s v="Global Online"/>
    <d v="2023-11-13T00:00:00"/>
    <d v="2023-11-17T00:00:00"/>
    <m/>
    <d v="1899-12-30T13:00:00"/>
    <d v="1899-12-30T10:00:00"/>
    <d v="1899-12-30T21:00:00"/>
    <d v="1899-12-30T19:00:00"/>
    <d v="1899-12-30T08:00:00"/>
    <d v="1899-12-30T03:00:00"/>
    <s v="T. White"/>
    <m/>
    <e v="#REF!"/>
    <e v="#REF!"/>
    <m/>
    <m/>
    <m/>
    <n v="45"/>
    <n v="5"/>
    <n v="36"/>
    <n v="0"/>
    <n v="4"/>
    <n v="0"/>
    <n v="0"/>
    <x v="2"/>
    <n v="-148"/>
    <n v="0"/>
    <n v="0"/>
  </r>
  <r>
    <m/>
    <s v="Navy Ergonomics Program (Global Online)"/>
    <s v="A-493-0085"/>
    <n v="3555"/>
    <s v="Global Online"/>
    <d v="2023-11-13T00:00:00"/>
    <d v="2023-11-16T00:00:00"/>
    <m/>
    <d v="1902-03-10T08:00:00"/>
    <d v="1899-12-30T09:00:00"/>
    <d v="1899-12-30T19:00:00"/>
    <d v="1899-12-30T17:00:00"/>
    <d v="1899-12-30T06:00:00"/>
    <d v="1899-12-30T01:00:00"/>
    <s v="B. Jung"/>
    <s v="B. Winslow"/>
    <e v="#REF!"/>
    <e v="#REF!"/>
    <m/>
    <m/>
    <m/>
    <n v="30"/>
    <n v="4"/>
    <n v="28"/>
    <n v="1"/>
    <n v="5"/>
    <n v="0"/>
    <n v="0"/>
    <x v="3"/>
    <n v="-149"/>
    <n v="0"/>
    <n v="0"/>
  </r>
  <r>
    <m/>
    <s v="Fall Protection Program Manager Course (Global Online)"/>
    <s v="A-493-0099"/>
    <s v="12JW"/>
    <s v="Global Online"/>
    <d v="2023-11-14T00:00:00"/>
    <d v="2023-11-16T00:00:00"/>
    <m/>
    <d v="1899-12-30T07:00:00"/>
    <d v="1899-12-30T04:00:00"/>
    <d v="1899-12-30T15:00:00"/>
    <d v="1899-12-30T13:00:00"/>
    <d v="1899-12-30T02:00:00"/>
    <d v="1899-12-30T21:00:00"/>
    <s v="V. Kentish"/>
    <m/>
    <e v="#REF!"/>
    <e v="#REF!"/>
    <m/>
    <m/>
    <m/>
    <n v="45"/>
    <n v="3"/>
    <n v="41"/>
    <n v="0"/>
    <n v="4"/>
    <n v="0"/>
    <n v="0"/>
    <x v="1"/>
    <n v="-149"/>
    <n v="0"/>
    <n v="0"/>
  </r>
  <r>
    <m/>
    <s v="Industrial Noise"/>
    <s v="A-493-0092"/>
    <n v="5891"/>
    <s v="Norfolk, VA Classroom 2"/>
    <d v="2023-11-14T00:00:00"/>
    <d v="2023-11-16T00:00:00"/>
    <d v="1899-12-30T08:00:00"/>
    <m/>
    <m/>
    <m/>
    <m/>
    <m/>
    <m/>
    <s v="W. Mitchell"/>
    <s v="K. Seo"/>
    <e v="#REF!"/>
    <e v="#REF!"/>
    <m/>
    <m/>
    <m/>
    <n v="25"/>
    <n v="3"/>
    <n v="10"/>
    <n v="0"/>
    <n v="2"/>
    <n v="0"/>
    <n v="0"/>
    <x v="2"/>
    <n v="-149"/>
    <n v="0"/>
    <n v="0"/>
  </r>
  <r>
    <m/>
    <s v="Hazardous Substance Incident Response Management (HSIRM) Refresher"/>
    <s v="A-493-0083"/>
    <s v="339E"/>
    <s v="Global Online"/>
    <d v="2023-11-14T00:00:00"/>
    <d v="2023-11-14T00:00:00"/>
    <m/>
    <d v="1899-12-30T08:00:00"/>
    <d v="1899-12-30T05:00:00"/>
    <d v="1899-12-30T16:00:00"/>
    <d v="1899-12-30T14:00:00"/>
    <d v="1899-12-30T03:00:00"/>
    <d v="1899-12-30T22:00:00"/>
    <s v="ENV Contractor"/>
    <m/>
    <e v="#REF!"/>
    <e v="#REF!"/>
    <m/>
    <m/>
    <m/>
    <n v="30"/>
    <n v="1"/>
    <n v="27"/>
    <n v="0"/>
    <n v="5"/>
    <n v="5"/>
    <n v="0"/>
    <x v="4"/>
    <n v="-151"/>
    <n v="0"/>
    <n v="0"/>
  </r>
  <r>
    <s v="Thanksgiving Potluck"/>
    <s v="Command Function"/>
    <s v="NA"/>
    <s v="NA"/>
    <s v="Norfolk, VA Classroom 1"/>
    <d v="2023-11-21T00:00:00"/>
    <d v="2023-11-21T00:00:00"/>
    <s v="1100"/>
    <m/>
    <m/>
    <m/>
    <m/>
    <m/>
    <m/>
    <m/>
    <m/>
    <m/>
    <m/>
    <m/>
    <m/>
    <m/>
    <m/>
    <m/>
    <m/>
    <m/>
    <m/>
    <m/>
    <m/>
    <x v="6"/>
    <n v="-144"/>
    <n v="1"/>
    <n v="0"/>
  </r>
  <r>
    <s v="Thanksgiving"/>
    <s v="Holiday"/>
    <s v="Holiday"/>
    <s v="Holiday"/>
    <m/>
    <d v="2023-11-23T00:00:00"/>
    <d v="2023-11-23T00:00:00"/>
    <d v="1899-12-30T00:00:00"/>
    <d v="1899-12-30T00:00:00"/>
    <d v="1899-12-30T00:00:00"/>
    <d v="1899-12-30T00:00:00"/>
    <d v="1899-12-30T00:00:00"/>
    <d v="1899-12-30T00:00:00"/>
    <d v="1899-12-30T00:00:00"/>
    <m/>
    <m/>
    <e v="#REF!"/>
    <e v="#REF!"/>
    <n v="0"/>
    <n v="0"/>
    <n v="0"/>
    <n v="0"/>
    <n v="0"/>
    <n v="0"/>
    <n v="0"/>
    <n v="0"/>
    <n v="0"/>
    <n v="0"/>
    <x v="5"/>
    <n v="-142"/>
    <n v="0"/>
    <n v="0"/>
  </r>
  <r>
    <s v="All Hands @0900"/>
    <s v="Command Function"/>
    <s v="NA"/>
    <s v="NA"/>
    <s v="Norfolk, VA Classroom 1"/>
    <d v="2023-11-27T00:00:00"/>
    <d v="2023-11-27T00:00:00"/>
    <d v="1899-12-30T09:00:00"/>
    <m/>
    <m/>
    <m/>
    <m/>
    <m/>
    <m/>
    <m/>
    <m/>
    <e v="#REF!"/>
    <e v="#REF!"/>
    <n v="0"/>
    <n v="0"/>
    <n v="0"/>
    <n v="0"/>
    <n v="0"/>
    <n v="0"/>
    <n v="0"/>
    <n v="0"/>
    <n v="0"/>
    <n v="0"/>
    <x v="5"/>
    <n v="-138"/>
    <n v="0"/>
    <n v="0"/>
  </r>
  <r>
    <s v="IH Indoc"/>
    <s v="Classroom Reserved"/>
    <s v="NA"/>
    <s v="NA"/>
    <s v="Norfolk, VA Classroom 2"/>
    <d v="2023-11-27T00:00:00"/>
    <d v="2023-12-01T00:00:00"/>
    <d v="1899-12-30T00:00:00"/>
    <d v="1899-12-30T00:00:00"/>
    <d v="1899-12-30T00:00:00"/>
    <d v="1899-12-30T00:00:00"/>
    <d v="1899-12-30T00:00:00"/>
    <d v="1899-12-30T00:00:00"/>
    <d v="1899-12-30T00:00:00"/>
    <m/>
    <m/>
    <m/>
    <m/>
    <m/>
    <m/>
    <m/>
    <n v="0"/>
    <n v="0"/>
    <n v="0"/>
    <n v="0"/>
    <n v="0"/>
    <n v="0"/>
    <n v="0"/>
    <x v="5"/>
    <n v="-134"/>
    <n v="0"/>
    <n v="0"/>
  </r>
  <r>
    <m/>
    <s v="Operational Risk Management Application &amp; Integration (Global Online)"/>
    <s v="A-570-0100"/>
    <s v="18B7"/>
    <s v="Global Online"/>
    <d v="2023-11-27T00:00:00"/>
    <d v="2023-11-30T00:00:00"/>
    <m/>
    <d v="1899-12-30T13:00:00"/>
    <d v="1899-12-30T10:00:00"/>
    <d v="1899-12-30T21:00:00"/>
    <d v="1899-12-30T19:00:00"/>
    <d v="1899-12-30T08:00:00"/>
    <d v="1899-12-30T03:00:00"/>
    <s v="BMC Sosaya"/>
    <m/>
    <e v="#REF!"/>
    <e v="#REF!"/>
    <m/>
    <m/>
    <m/>
    <n v="30"/>
    <n v="4"/>
    <n v="19"/>
    <n v="4"/>
    <n v="8"/>
    <n v="1"/>
    <n v="0"/>
    <x v="3"/>
    <n v="-135"/>
    <n v="0"/>
    <n v="0"/>
  </r>
  <r>
    <m/>
    <s v="Fall Protection Program Manager Course (Global Online)"/>
    <s v="A-493-0099"/>
    <s v="12JW"/>
    <s v="Global Online"/>
    <d v="2023-11-28T00:00:00"/>
    <d v="2023-11-30T00:00:00"/>
    <m/>
    <d v="1899-12-30T08:00:00"/>
    <d v="1899-12-30T05:00:00"/>
    <d v="1899-12-30T16:00:00"/>
    <d v="1899-12-30T14:00:00"/>
    <d v="1899-12-30T03:00:00"/>
    <d v="1899-12-30T22:00:00"/>
    <s v="V. Kentish"/>
    <m/>
    <e v="#REF!"/>
    <e v="#REF!"/>
    <m/>
    <m/>
    <m/>
    <n v="45"/>
    <n v="3"/>
    <n v="40"/>
    <n v="0"/>
    <n v="2"/>
    <n v="0"/>
    <n v="0"/>
    <x v="1"/>
    <n v="-135"/>
    <n v="0"/>
    <n v="0"/>
  </r>
  <r>
    <m/>
    <s v="Respiratory Protection Program Management"/>
    <s v="A-493-0072"/>
    <s v="713U"/>
    <s v="Norfolk, VA Classroom 1"/>
    <d v="2023-11-28T00:00:00"/>
    <d v="2023-12-01T00:00:00"/>
    <d v="1899-12-30T08:00:00"/>
    <m/>
    <m/>
    <m/>
    <m/>
    <m/>
    <m/>
    <s v="B. Winslow"/>
    <s v="B. Jung"/>
    <e v="#REF!"/>
    <e v="#REF!"/>
    <m/>
    <m/>
    <m/>
    <n v="30"/>
    <n v="4"/>
    <n v="27"/>
    <n v="0"/>
    <n v="4"/>
    <n v="1"/>
    <n v="0"/>
    <x v="3"/>
    <n v="-134"/>
    <n v="0"/>
    <n v="0"/>
  </r>
  <r>
    <m/>
    <s v="Introduction to Naval Safety and Occupational Health (Global Online) "/>
    <s v="A-493-0550"/>
    <s v="09K5"/>
    <s v="Global Online"/>
    <d v="2023-12-04T00:00:00"/>
    <d v="2023-12-08T00:00:00"/>
    <m/>
    <d v="1899-12-30T08:00:00"/>
    <d v="1899-12-30T05:00:00"/>
    <d v="1899-12-30T16:00:00"/>
    <d v="1899-12-30T14:00:00"/>
    <d v="1899-12-30T03:00:00"/>
    <d v="1899-12-30T22:00:00"/>
    <s v="D. Rodriguez"/>
    <m/>
    <e v="#REF!"/>
    <e v="#REF!"/>
    <m/>
    <m/>
    <m/>
    <n v="45"/>
    <n v="4"/>
    <n v="32"/>
    <n v="1"/>
    <n v="12"/>
    <n v="1"/>
    <n v="0"/>
    <x v="2"/>
    <n v="-127"/>
    <n v="0"/>
    <n v="0"/>
  </r>
  <r>
    <m/>
    <s v="Mishap Investigation (Global Online) "/>
    <s v="A-493-0078"/>
    <n v="1228"/>
    <s v="Global Online"/>
    <d v="2023-12-04T00:00:00"/>
    <d v="2023-12-08T00:00:00"/>
    <m/>
    <d v="1899-12-30T13:00:00"/>
    <d v="1899-12-30T10:00:00"/>
    <d v="1899-12-30T21:00:00"/>
    <d v="1899-12-30T19:00:00"/>
    <d v="1899-12-30T08:00:00"/>
    <d v="1899-12-30T03:00:00"/>
    <s v="T. White"/>
    <m/>
    <e v="#REF!"/>
    <e v="#REF!"/>
    <m/>
    <m/>
    <m/>
    <n v="45"/>
    <n v="5"/>
    <n v="40"/>
    <n v="0"/>
    <n v="6"/>
    <n v="1"/>
    <n v="0"/>
    <x v="2"/>
    <n v="-127"/>
    <n v="0"/>
    <n v="0"/>
  </r>
  <r>
    <m/>
    <s v="Operational Risk Management Application &amp; Integration (Global Online)"/>
    <s v="A-570-0100"/>
    <s v="18B7"/>
    <s v="Global Online"/>
    <d v="2023-12-04T00:00:00"/>
    <d v="2023-12-07T00:00:00"/>
    <m/>
    <d v="1899-12-30T13:00:00"/>
    <d v="1899-12-30T10:00:00"/>
    <d v="1899-12-30T21:00:00"/>
    <d v="1899-12-30T19:00:00"/>
    <d v="1899-12-30T08:00:00"/>
    <d v="1899-12-30T03:00:00"/>
    <s v="BMC Sosaya"/>
    <m/>
    <e v="#REF!"/>
    <e v="#REF!"/>
    <m/>
    <m/>
    <m/>
    <n v="30"/>
    <n v="4"/>
    <n v="28"/>
    <n v="0"/>
    <n v="5"/>
    <n v="3"/>
    <n v="0"/>
    <x v="3"/>
    <n v="-128"/>
    <n v="0"/>
    <n v="0"/>
  </r>
  <r>
    <s v="USMC"/>
    <s v="Respiratory Protection Program Management"/>
    <s v="A-493-0072"/>
    <s v="713U"/>
    <s v="Marine Corps Base Hawaii"/>
    <d v="2023-12-04T00:00:00"/>
    <d v="2023-12-07T00:00:00"/>
    <d v="1899-12-30T08:00:00"/>
    <m/>
    <m/>
    <m/>
    <m/>
    <m/>
    <m/>
    <s v="B. Winslow"/>
    <s v="B. Jung"/>
    <e v="#REF!"/>
    <e v="#REF!"/>
    <m/>
    <m/>
    <m/>
    <n v="30"/>
    <n v="4"/>
    <n v="9"/>
    <n v="0"/>
    <n v="0"/>
    <n v="0"/>
    <n v="0"/>
    <x v="3"/>
    <n v="-128"/>
    <n v="0"/>
    <n v="0"/>
  </r>
  <r>
    <m/>
    <s v="Introduction to Hazardous Materials [Ashore] (Global Online) "/>
    <s v="A-493-0331"/>
    <s v="10UG"/>
    <s v="Global Online"/>
    <d v="2023-12-05T00:00:00"/>
    <d v="2023-12-07T00:00:00"/>
    <m/>
    <d v="1899-12-30T12:00:00"/>
    <d v="1899-12-30T09:00:00"/>
    <d v="1899-12-30T20:00:00"/>
    <d v="1899-12-30T18:00:00"/>
    <d v="1899-12-30T07:00:00"/>
    <d v="1899-12-30T02:00:00"/>
    <s v="W. Mitchell"/>
    <s v="K. Seo"/>
    <e v="#REF!"/>
    <e v="#REF!"/>
    <m/>
    <m/>
    <m/>
    <n v="40"/>
    <n v="3"/>
    <n v="33"/>
    <n v="1"/>
    <n v="9"/>
    <n v="0"/>
    <n v="0"/>
    <x v="3"/>
    <n v="-128"/>
    <n v="0"/>
    <n v="0"/>
  </r>
  <r>
    <s v="RMI Training POC Mike Bailey"/>
    <s v="Classroom Reserved"/>
    <s v="NA"/>
    <s v="NA"/>
    <s v="Norfolk, VA Classroom 1"/>
    <d v="2023-12-11T00:00:00"/>
    <d v="2023-12-13T00:00:00"/>
    <d v="1899-12-30T00:00:00"/>
    <d v="1899-12-30T00:00:00"/>
    <d v="1899-12-30T00:00:00"/>
    <d v="1899-12-30T00:00:00"/>
    <d v="1899-12-30T00:00:00"/>
    <d v="1899-12-30T00:00:00"/>
    <d v="1899-12-30T00:00:00"/>
    <m/>
    <m/>
    <m/>
    <m/>
    <m/>
    <m/>
    <m/>
    <n v="0"/>
    <n v="0"/>
    <n v="0"/>
    <n v="0"/>
    <n v="0"/>
    <n v="0"/>
    <n v="0"/>
    <x v="5"/>
    <n v="-122"/>
    <n v="0"/>
    <n v="0"/>
  </r>
  <r>
    <m/>
    <s v="General Industry Safety Standards (Global Online) "/>
    <s v="A-493-0061"/>
    <s v="288E"/>
    <s v="Global Online"/>
    <d v="2023-12-11T00:00:00"/>
    <d v="2023-12-15T00:00:00"/>
    <m/>
    <d v="1899-12-30T13:00:00"/>
    <d v="1899-12-30T10:00:00"/>
    <d v="1899-12-30T21:00:00"/>
    <d v="1899-12-30T19:00:00"/>
    <d v="1899-12-30T08:00:00"/>
    <d v="1899-12-30T03:00:00"/>
    <s v="S. Griffin"/>
    <m/>
    <e v="#REF!"/>
    <e v="#REF!"/>
    <m/>
    <m/>
    <m/>
    <n v="45"/>
    <n v="5"/>
    <n v="36"/>
    <n v="0"/>
    <n v="6"/>
    <n v="0"/>
    <n v="0"/>
    <x v="1"/>
    <n v="-120"/>
    <n v="0"/>
    <n v="0"/>
  </r>
  <r>
    <m/>
    <s v="Introduction to Hazardous Materials [Ashore] (Global Online) "/>
    <s v="A-493-0331"/>
    <s v="10UG"/>
    <s v="Global Online"/>
    <d v="2023-12-11T00:00:00"/>
    <d v="2023-12-13T00:00:00"/>
    <m/>
    <d v="1899-12-30T18:00:00"/>
    <d v="1899-12-30T15:00:00"/>
    <d v="1899-12-30T02:00:00"/>
    <d v="1899-12-30T00:00:00"/>
    <d v="1899-12-30T13:00:00"/>
    <d v="1899-12-30T08:00:00"/>
    <s v="W. Mitchell"/>
    <s v="A. Harris"/>
    <e v="#REF!"/>
    <e v="#REF!"/>
    <m/>
    <m/>
    <m/>
    <n v="40"/>
    <n v="3"/>
    <n v="32"/>
    <n v="0"/>
    <n v="9"/>
    <n v="0"/>
    <n v="0"/>
    <x v="3"/>
    <n v="-122"/>
    <n v="0"/>
    <n v="0"/>
  </r>
  <r>
    <m/>
    <s v="Navy Ergonomics Program (Global Online)"/>
    <s v="A-493-0085"/>
    <n v="3555"/>
    <s v="Global Online"/>
    <d v="2023-12-11T00:00:00"/>
    <d v="2023-12-14T00:00:00"/>
    <m/>
    <d v="1899-12-30T12:00:00"/>
    <d v="1899-12-30T09:00:00"/>
    <d v="1899-12-30T19:00:00"/>
    <d v="1899-12-30T17:00:00"/>
    <d v="1899-12-30T06:00:00"/>
    <d v="1899-12-30T01:00:00"/>
    <s v="B. Jung"/>
    <s v="B. Winslow"/>
    <e v="#REF!"/>
    <e v="#REF!"/>
    <m/>
    <m/>
    <m/>
    <n v="30"/>
    <n v="4"/>
    <n v="28"/>
    <n v="2"/>
    <n v="2"/>
    <n v="0"/>
    <n v="0"/>
    <x v="3"/>
    <n v="-121"/>
    <n v="0"/>
    <n v="0"/>
  </r>
  <r>
    <m/>
    <s v="Safety Programs Afloat (Global Online) "/>
    <s v="A-493-2098"/>
    <s v="09WW"/>
    <s v="Global Online"/>
    <d v="2023-12-11T00:00:00"/>
    <d v="2023-12-15T00:00:00"/>
    <m/>
    <d v="1899-12-31T13:00:00"/>
    <d v="1899-12-30T10:00:00"/>
    <d v="1899-12-30T21:00:00"/>
    <d v="1899-12-30T19:00:00"/>
    <d v="1899-12-30T08:00:00"/>
    <d v="1899-12-30T03:00:00"/>
    <s v="BMC Sosaya"/>
    <m/>
    <m/>
    <m/>
    <m/>
    <m/>
    <m/>
    <n v="100"/>
    <n v="5"/>
    <n v="96"/>
    <n v="2"/>
    <n v="8"/>
    <n v="5"/>
    <n v="0"/>
    <x v="2"/>
    <n v="-120"/>
    <n v="0"/>
    <n v="0"/>
  </r>
  <r>
    <m/>
    <s v="Introduction to Naval Safety and Occupational Health (Global Online) "/>
    <s v="A-493-0550"/>
    <s v="09K5"/>
    <s v="Global Online"/>
    <d v="2023-12-18T00:00:00"/>
    <d v="2023-12-22T00:00:00"/>
    <m/>
    <d v="1899-12-30T07:00:00"/>
    <d v="1899-12-30T04:00:00"/>
    <d v="1899-12-30T15:00:00"/>
    <d v="1899-12-30T13:00:00"/>
    <d v="1899-12-30T02:00:00"/>
    <d v="1899-12-30T21:00:00"/>
    <s v="D. Rodriguez"/>
    <m/>
    <e v="#REF!"/>
    <e v="#REF!"/>
    <m/>
    <m/>
    <m/>
    <n v="45"/>
    <n v="4"/>
    <n v="41"/>
    <n v="1"/>
    <n v="4"/>
    <n v="1"/>
    <n v="0"/>
    <x v="2"/>
    <n v="-113"/>
    <n v="0"/>
    <n v="0"/>
  </r>
  <r>
    <m/>
    <s v="Mishap Investigation (Global Online) "/>
    <s v="A-493-0078"/>
    <n v="1228"/>
    <s v="Global Online"/>
    <d v="2023-12-18T00:00:00"/>
    <d v="2023-12-22T00:00:00"/>
    <m/>
    <d v="1899-12-30T08:00:00"/>
    <d v="1899-12-30T05:00:00"/>
    <d v="1899-12-30T16:00:00"/>
    <d v="1899-12-30T14:00:00"/>
    <d v="1899-12-30T03:00:00"/>
    <d v="1899-12-30T22:00:00"/>
    <s v="T. White"/>
    <m/>
    <e v="#REF!"/>
    <e v="#REF!"/>
    <m/>
    <m/>
    <m/>
    <n v="45"/>
    <n v="5"/>
    <n v="38"/>
    <n v="0"/>
    <n v="3"/>
    <n v="0"/>
    <n v="0"/>
    <x v="2"/>
    <n v="-113"/>
    <n v="0"/>
    <n v="0"/>
  </r>
  <r>
    <s v="Christmas Function"/>
    <s v="Command Function"/>
    <s v="NA"/>
    <s v="NA"/>
    <m/>
    <d v="2023-12-19T00:00:00"/>
    <d v="2023-12-19T00:00:00"/>
    <d v="1899-12-30T13:00:00"/>
    <m/>
    <m/>
    <m/>
    <m/>
    <m/>
    <m/>
    <m/>
    <m/>
    <e v="#REF!"/>
    <e v="#REF!"/>
    <n v="0"/>
    <n v="0"/>
    <n v="0"/>
    <n v="0"/>
    <n v="0"/>
    <n v="0"/>
    <n v="0"/>
    <n v="0"/>
    <n v="0"/>
    <n v="0"/>
    <x v="5"/>
    <n v="-116"/>
    <n v="0"/>
    <n v="0"/>
  </r>
  <r>
    <s v="Christmas Day"/>
    <s v="Holiday"/>
    <s v="Holiday"/>
    <s v="Holiday"/>
    <m/>
    <d v="2023-12-25T00:00:00"/>
    <d v="2023-12-25T00:00:00"/>
    <d v="1899-12-30T00:00:00"/>
    <d v="1899-12-30T00:00:00"/>
    <d v="1899-12-30T00:00:00"/>
    <d v="1899-12-30T00:00:00"/>
    <d v="1899-12-30T00:00:00"/>
    <d v="1899-12-30T00:00:00"/>
    <d v="1899-12-30T00:00:00"/>
    <m/>
    <m/>
    <e v="#REF!"/>
    <e v="#REF!"/>
    <n v="0"/>
    <n v="0"/>
    <n v="0"/>
    <n v="0"/>
    <n v="0"/>
    <n v="0"/>
    <n v="0"/>
    <n v="0"/>
    <n v="0"/>
    <n v="0"/>
    <x v="5"/>
    <n v="-110"/>
    <n v="0"/>
    <n v="0"/>
  </r>
  <r>
    <s v="New Year's Day"/>
    <s v="Holiday"/>
    <s v="Holiday"/>
    <s v="Holiday"/>
    <m/>
    <d v="2024-01-01T00:00:00"/>
    <d v="2024-01-01T00:00:00"/>
    <d v="1899-12-30T00:00:00"/>
    <d v="1899-12-30T00:00:00"/>
    <d v="1899-12-30T00:00:00"/>
    <d v="1899-12-30T00:00:00"/>
    <d v="1899-12-30T00:00:00"/>
    <d v="1899-12-30T00:00:00"/>
    <d v="1899-12-30T00:00:00"/>
    <m/>
    <m/>
    <e v="#REF!"/>
    <e v="#REF!"/>
    <n v="0"/>
    <n v="0"/>
    <n v="0"/>
    <n v="0"/>
    <n v="0"/>
    <n v="0"/>
    <n v="0"/>
    <n v="0"/>
    <n v="0"/>
    <n v="0"/>
    <x v="5"/>
    <n v="-103"/>
    <n v="0"/>
    <n v="0"/>
  </r>
  <r>
    <m/>
    <s v="Respiratory Protection Program Management"/>
    <s v="A-493-0072"/>
    <s v="713U"/>
    <s v="Pearl Harbor, HI"/>
    <d v="2024-01-02T00:00:00"/>
    <d v="2024-01-05T00:00:00"/>
    <d v="1899-12-30T08:00:00"/>
    <m/>
    <m/>
    <m/>
    <m/>
    <m/>
    <m/>
    <s v="B. Winslow"/>
    <s v="K. Seo"/>
    <e v="#REF!"/>
    <e v="#REF!"/>
    <m/>
    <m/>
    <m/>
    <n v="30"/>
    <n v="4"/>
    <n v="20"/>
    <n v="0"/>
    <n v="8"/>
    <n v="0"/>
    <n v="0"/>
    <x v="3"/>
    <n v="-99"/>
    <n v="0"/>
    <n v="0"/>
  </r>
  <r>
    <m/>
    <s v="General Industry Safety Standards (Global Online) "/>
    <s v="A-493-0061"/>
    <s v="288E"/>
    <s v="Global Online"/>
    <d v="2024-01-08T00:00:00"/>
    <d v="2024-01-12T00:00:00"/>
    <m/>
    <d v="1899-12-30T07:00:00"/>
    <d v="1899-12-30T04:00:00"/>
    <d v="1899-12-30T15:00:00"/>
    <d v="1899-12-30T13:00:00"/>
    <d v="1899-12-30T02:00:00"/>
    <d v="1899-12-30T21:00:00"/>
    <s v="S. Griffin"/>
    <m/>
    <e v="#REF!"/>
    <e v="#REF!"/>
    <m/>
    <m/>
    <m/>
    <n v="45"/>
    <n v="5"/>
    <n v="29"/>
    <n v="0"/>
    <n v="3"/>
    <n v="0"/>
    <n v="0"/>
    <x v="1"/>
    <n v="-92"/>
    <n v="0"/>
    <n v="0"/>
  </r>
  <r>
    <m/>
    <s v="Hazardous Material Control and Management [HMC&amp;M] Technician (Global Online)"/>
    <s v="A-322-2604"/>
    <s v="10ZZ"/>
    <s v="Global Online"/>
    <d v="2024-01-08T00:00:00"/>
    <d v="2024-01-12T00:00:00"/>
    <m/>
    <d v="1899-12-30T08:00:00"/>
    <d v="1899-12-30T05:00:00"/>
    <d v="1899-12-30T16:00:00"/>
    <d v="1899-12-30T14:00:00"/>
    <d v="1899-12-30T03:00:00"/>
    <d v="1899-12-30T22:00:00"/>
    <s v="LSC Rouse "/>
    <m/>
    <e v="#REF!"/>
    <e v="#REF!"/>
    <m/>
    <m/>
    <m/>
    <n v="45"/>
    <n v="5"/>
    <n v="30"/>
    <n v="0"/>
    <n v="17"/>
    <n v="2"/>
    <n v="0"/>
    <x v="4"/>
    <n v="-92"/>
    <n v="0"/>
    <n v="0"/>
  </r>
  <r>
    <m/>
    <s v="Introduction to Naval Safety and Occupational Health (Global Online) "/>
    <s v="A-493-0550"/>
    <s v="09K5"/>
    <s v="Global Online"/>
    <d v="2024-01-08T00:00:00"/>
    <d v="2024-01-12T00:00:00"/>
    <m/>
    <d v="1899-12-30T10:00:00"/>
    <d v="1899-12-30T07:00:00"/>
    <d v="1899-12-30T18:00:00"/>
    <d v="1899-12-30T16:00:00"/>
    <d v="1899-12-30T05:00:00"/>
    <d v="1899-12-30T00:00:00"/>
    <s v="D. Rodriguez"/>
    <m/>
    <e v="#REF!"/>
    <e v="#REF!"/>
    <m/>
    <m/>
    <m/>
    <n v="45"/>
    <n v="4"/>
    <n v="40"/>
    <n v="0"/>
    <n v="5"/>
    <n v="0"/>
    <n v="0"/>
    <x v="2"/>
    <n v="-92"/>
    <n v="0"/>
    <n v="0"/>
  </r>
  <r>
    <m/>
    <s v="Mishap Investigation (Global Online) "/>
    <s v="A-493-0078"/>
    <n v="1228"/>
    <s v="Global Online"/>
    <d v="2024-01-08T00:00:00"/>
    <d v="2024-01-12T00:00:00"/>
    <m/>
    <d v="1899-12-30T07:00:00"/>
    <d v="1899-12-30T04:00:00"/>
    <d v="1899-12-30T15:00:00"/>
    <d v="1899-12-30T13:00:00"/>
    <d v="1899-12-30T02:00:00"/>
    <d v="1899-12-30T21:00:00"/>
    <s v="T. White"/>
    <m/>
    <e v="#REF!"/>
    <e v="#REF!"/>
    <m/>
    <m/>
    <m/>
    <n v="45"/>
    <n v="5"/>
    <n v="27"/>
    <n v="0"/>
    <n v="2"/>
    <n v="0"/>
    <n v="0"/>
    <x v="2"/>
    <n v="-92"/>
    <n v="0"/>
    <n v="0"/>
  </r>
  <r>
    <m/>
    <s v="Safety Programs Afloat (Global Online) "/>
    <s v="A-493-2098"/>
    <s v="09WW"/>
    <s v="Global Online"/>
    <d v="2024-01-08T00:00:00"/>
    <d v="2024-01-12T00:00:00"/>
    <m/>
    <d v="1899-12-30T13:00:00"/>
    <d v="1899-12-30T10:00:00"/>
    <d v="1899-12-30T21:00:00"/>
    <d v="1899-12-30T19:00:00"/>
    <d v="1899-12-30T08:00:00"/>
    <d v="1899-12-30T03:00:00"/>
    <s v="LSC Rouse "/>
    <m/>
    <e v="#REF!"/>
    <e v="#REF!"/>
    <m/>
    <m/>
    <m/>
    <n v="100"/>
    <n v="5"/>
    <n v="85"/>
    <n v="1"/>
    <n v="16"/>
    <n v="1"/>
    <n v="0"/>
    <x v="2"/>
    <n v="-92"/>
    <n v="0"/>
    <n v="0"/>
  </r>
  <r>
    <m/>
    <s v="Facility Response Team (FRT) Five Day"/>
    <s v="A-493-0012"/>
    <n v="3682"/>
    <s v="Guam"/>
    <d v="2024-01-08T00:00:00"/>
    <d v="2024-01-12T00:00:00"/>
    <d v="1899-12-30T08:00:00"/>
    <m/>
    <m/>
    <m/>
    <m/>
    <m/>
    <m/>
    <s v="ENV Contractor"/>
    <m/>
    <e v="#REF!"/>
    <e v="#REF!"/>
    <m/>
    <m/>
    <m/>
    <n v="40"/>
    <n v="5"/>
    <n v="23"/>
    <n v="0"/>
    <n v="1"/>
    <n v="3"/>
    <n v="9"/>
    <x v="4"/>
    <n v="-92"/>
    <n v="0"/>
    <n v="0"/>
  </r>
  <r>
    <m/>
    <s v="Respiratory Protection Program Management"/>
    <s v="A-493-0072"/>
    <s v="713U"/>
    <s v="Coronado, CA"/>
    <d v="2024-01-08T00:00:00"/>
    <d v="2024-01-11T00:00:00"/>
    <d v="1899-12-30T08:00:00"/>
    <m/>
    <m/>
    <m/>
    <m/>
    <m/>
    <m/>
    <s v="B. Winslow"/>
    <s v="K. Seo"/>
    <e v="#REF!"/>
    <e v="#REF!"/>
    <m/>
    <m/>
    <m/>
    <n v="30"/>
    <n v="4"/>
    <n v="28"/>
    <n v="0"/>
    <n v="6"/>
    <n v="4"/>
    <n v="0"/>
    <x v="3"/>
    <n v="-93"/>
    <n v="0"/>
    <n v="0"/>
  </r>
  <r>
    <m/>
    <s v="Fall Protection Program Manager Course (Global Online)"/>
    <s v="A-493-0099"/>
    <s v="12JW"/>
    <s v="Global Online"/>
    <d v="2024-01-09T00:00:00"/>
    <d v="2024-01-11T00:00:00"/>
    <m/>
    <d v="1899-12-30T10:00:00"/>
    <d v="1899-12-30T07:00:00"/>
    <d v="1899-12-30T18:00:00"/>
    <d v="1899-12-30T16:00:00"/>
    <d v="1899-12-30T05:00:00"/>
    <d v="1899-12-30T00:00:00"/>
    <s v="V. Kentish"/>
    <m/>
    <e v="#REF!"/>
    <e v="#REF!"/>
    <m/>
    <m/>
    <m/>
    <n v="45"/>
    <n v="3"/>
    <n v="32"/>
    <n v="0"/>
    <n v="13"/>
    <n v="0"/>
    <n v="0"/>
    <x v="1"/>
    <n v="-93"/>
    <n v="0"/>
    <n v="0"/>
  </r>
  <r>
    <m/>
    <s v="Introduction to Hazardous Materials [Ashore] (Global Online) "/>
    <s v="A-493-0331"/>
    <s v="10UG"/>
    <s v="Global Online"/>
    <d v="2024-01-09T00:00:00"/>
    <d v="2024-01-11T00:00:00"/>
    <m/>
    <d v="1899-12-30T12:00:00"/>
    <d v="1899-12-30T09:00:00"/>
    <d v="1899-12-30T20:00:00"/>
    <d v="1899-12-30T18:00:00"/>
    <d v="1899-12-30T07:00:00"/>
    <d v="1899-12-30T02:00:00"/>
    <s v="B. Jung"/>
    <s v="W. Mitchell"/>
    <e v="#REF!"/>
    <e v="#REF!"/>
    <m/>
    <m/>
    <m/>
    <n v="40"/>
    <n v="3"/>
    <n v="41"/>
    <n v="1"/>
    <n v="4"/>
    <n v="3"/>
    <n v="0"/>
    <x v="3"/>
    <n v="-93"/>
    <n v="0"/>
    <n v="0"/>
  </r>
  <r>
    <m/>
    <s v="Incident Command System 300 (ICS 300) Refresher"/>
    <s v="A-493-2301"/>
    <s v="05ZD"/>
    <s v="Sasebo, Japan"/>
    <d v="2024-01-11T00:00:00"/>
    <d v="2024-01-11T00:00:00"/>
    <d v="1899-12-30T08:00:00"/>
    <m/>
    <m/>
    <m/>
    <m/>
    <m/>
    <m/>
    <s v="ENV Contractor"/>
    <m/>
    <e v="#REF!"/>
    <e v="#REF!"/>
    <m/>
    <m/>
    <m/>
    <n v="30"/>
    <n v="1"/>
    <n v="30"/>
    <n v="0"/>
    <n v="7"/>
    <n v="6"/>
    <n v="8"/>
    <x v="4"/>
    <n v="-93"/>
    <n v="0"/>
    <n v="0"/>
  </r>
  <r>
    <m/>
    <s v="Oil Hazardous Substance Spill Response Tabletop Exercise (OHS TTX)"/>
    <s v="A-493-2501"/>
    <s v="05ZE"/>
    <s v="Sasebo, Japan"/>
    <d v="2024-01-12T00:00:00"/>
    <d v="2024-01-12T00:00:00"/>
    <d v="1899-12-30T08:00:00"/>
    <m/>
    <m/>
    <m/>
    <m/>
    <m/>
    <m/>
    <s v="ENV Contractor"/>
    <m/>
    <e v="#REF!"/>
    <e v="#REF!"/>
    <m/>
    <m/>
    <m/>
    <n v="30"/>
    <n v="1"/>
    <n v="30"/>
    <n v="0"/>
    <n v="7"/>
    <n v="6"/>
    <n v="8"/>
    <x v="4"/>
    <n v="-92"/>
    <n v="0"/>
    <n v="0"/>
  </r>
  <r>
    <s v="JBPHH"/>
    <s v="Facility Response Team (FRT) Five Day"/>
    <s v="A-493-0012"/>
    <n v="3682"/>
    <s v="Pearl Harbor, HI"/>
    <d v="2024-01-15T00:00:00"/>
    <d v="2024-01-19T00:00:00"/>
    <d v="1899-12-30T08:00:00"/>
    <m/>
    <m/>
    <m/>
    <m/>
    <m/>
    <m/>
    <s v="ENV Contractor"/>
    <m/>
    <e v="#REF!"/>
    <e v="#REF!"/>
    <m/>
    <m/>
    <m/>
    <n v="40"/>
    <n v="5"/>
    <n v="30"/>
    <n v="2"/>
    <n v="0"/>
    <n v="5"/>
    <n v="0"/>
    <x v="4"/>
    <n v="-85"/>
    <n v="0"/>
    <n v="0"/>
  </r>
  <r>
    <s v="MLK Day"/>
    <s v="Holiday"/>
    <s v="Holiday"/>
    <s v="Holiday"/>
    <m/>
    <d v="2024-01-15T00:00:00"/>
    <d v="2024-01-15T00:00:00"/>
    <d v="1899-12-30T00:00:00"/>
    <d v="1899-12-30T00:00:00"/>
    <d v="1899-12-30T00:00:00"/>
    <d v="1899-12-30T00:00:00"/>
    <d v="1899-12-30T00:00:00"/>
    <d v="1899-12-30T00:00:00"/>
    <d v="1899-12-30T00:00:00"/>
    <m/>
    <m/>
    <e v="#REF!"/>
    <e v="#REF!"/>
    <n v="0"/>
    <n v="0"/>
    <n v="0"/>
    <n v="0"/>
    <n v="0"/>
    <n v="0"/>
    <n v="0"/>
    <n v="0"/>
    <n v="0"/>
    <n v="0"/>
    <x v="5"/>
    <n v="-89"/>
    <n v="0"/>
    <n v="0"/>
  </r>
  <r>
    <m/>
    <s v="Aviation Safety Specialist (Global Online) "/>
    <s v="A-493-0665"/>
    <s v="10KW"/>
    <s v="Global Online"/>
    <d v="2024-01-16T00:00:00"/>
    <d v="2024-01-19T00:00:00"/>
    <m/>
    <d v="1899-12-30T19:00:00"/>
    <d v="1899-12-30T16:00:00"/>
    <d v="1899-12-30T02:00:00"/>
    <d v="1899-12-30T00:00:00"/>
    <d v="1899-12-30T13:00:00"/>
    <d v="1899-12-30T08:00:00"/>
    <s v="LSC Rouse "/>
    <m/>
    <e v="#REF!"/>
    <e v="#REF!"/>
    <m/>
    <m/>
    <m/>
    <n v="45"/>
    <n v="5"/>
    <n v="37"/>
    <n v="4"/>
    <n v="5"/>
    <n v="1"/>
    <n v="0"/>
    <x v="7"/>
    <n v="-85"/>
    <n v="0"/>
    <n v="0"/>
  </r>
  <r>
    <m/>
    <s v="Machinery and Machine Guarding Standards (Global Online) "/>
    <s v="A-493-0073"/>
    <s v="714S"/>
    <s v="Global Online"/>
    <d v="2024-01-16T00:00:00"/>
    <d v="2024-01-19T00:00:00"/>
    <m/>
    <d v="1899-12-30T10:00:00"/>
    <d v="1899-12-30T07:00:00"/>
    <d v="1899-12-30T18:00:00"/>
    <d v="1899-12-30T16:00:00"/>
    <d v="1899-12-30T05:00:00"/>
    <d v="1899-12-30T00:00:00"/>
    <s v="SOH Contractor"/>
    <m/>
    <e v="#REF!"/>
    <e v="#REF!"/>
    <m/>
    <m/>
    <m/>
    <n v="30"/>
    <n v="4"/>
    <n v="26"/>
    <n v="0"/>
    <n v="4"/>
    <n v="0"/>
    <n v="0"/>
    <x v="1"/>
    <n v="-85"/>
    <n v="0"/>
    <n v="0"/>
  </r>
  <r>
    <m/>
    <s v="Navy Ergonomics Program (Global Online)"/>
    <s v="A-493-0085"/>
    <n v="3555"/>
    <s v="Global Online"/>
    <d v="2024-01-16T00:00:00"/>
    <d v="2024-01-19T00:00:00"/>
    <m/>
    <d v="1899-12-30T19:00:00"/>
    <d v="1899-12-30T16:00:00"/>
    <d v="1899-12-30T02:00:00"/>
    <d v="1899-12-30T00:00:00"/>
    <d v="1899-12-30T13:00:00"/>
    <d v="1899-12-30T08:00:00"/>
    <s v="B. Jung"/>
    <s v="B. Winslow"/>
    <e v="#REF!"/>
    <e v="#REF!"/>
    <m/>
    <m/>
    <m/>
    <n v="30"/>
    <n v="4"/>
    <n v="25"/>
    <n v="0"/>
    <n v="4"/>
    <n v="0"/>
    <n v="0"/>
    <x v="3"/>
    <n v="-85"/>
    <n v="0"/>
    <n v="0"/>
  </r>
  <r>
    <m/>
    <s v="Safety Programs Afloat (Global Online) "/>
    <s v="A-493-2098"/>
    <s v="09WW"/>
    <s v="Global Online"/>
    <d v="2024-01-16T00:00:00"/>
    <d v="2024-01-19T00:00:00"/>
    <m/>
    <d v="1899-12-30T13:00:00"/>
    <d v="1899-12-30T10:00:00"/>
    <d v="1899-12-30T21:00:00"/>
    <d v="1899-12-30T19:00:00"/>
    <d v="1899-12-30T08:00:00"/>
    <d v="1899-12-30T03:00:00"/>
    <s v="LSC Rouse "/>
    <m/>
    <e v="#REF!"/>
    <e v="#REF!"/>
    <m/>
    <m/>
    <m/>
    <n v="100"/>
    <n v="5"/>
    <n v="75"/>
    <n v="6"/>
    <n v="22"/>
    <n v="1"/>
    <n v="0"/>
    <x v="2"/>
    <n v="-85"/>
    <n v="0"/>
    <n v="0"/>
  </r>
  <r>
    <m/>
    <s v="Industrial Noise"/>
    <s v="A-493-0092"/>
    <n v="5891"/>
    <s v="Norfolk, VA Classroom 1"/>
    <d v="2024-01-17T00:00:00"/>
    <d v="2024-01-19T00:00:00"/>
    <d v="1899-12-30T08:00:00"/>
    <m/>
    <m/>
    <m/>
    <m/>
    <m/>
    <m/>
    <s v="A. Harris"/>
    <s v="W. Mitchell"/>
    <e v="#REF!"/>
    <e v="#REF!"/>
    <m/>
    <m/>
    <m/>
    <n v="25"/>
    <n v="3"/>
    <n v="15"/>
    <n v="0"/>
    <n v="1"/>
    <n v="1"/>
    <n v="0"/>
    <x v="2"/>
    <n v="-85"/>
    <n v="0"/>
    <n v="0"/>
  </r>
  <r>
    <m/>
    <s v="Hazardous Substance Incident Response Management (HSIRM)"/>
    <s v="A-493-0077"/>
    <s v="0381"/>
    <s v="San Diego, CA"/>
    <d v="2024-01-22T00:00:00"/>
    <d v="2024-01-24T00:00:00"/>
    <d v="1899-12-30T08:00:00"/>
    <m/>
    <m/>
    <m/>
    <m/>
    <m/>
    <m/>
    <s v="ENV Contractor"/>
    <m/>
    <e v="#REF!"/>
    <e v="#REF!"/>
    <m/>
    <m/>
    <m/>
    <n v="25"/>
    <n v="3"/>
    <n v="6"/>
    <n v="0"/>
    <n v="3"/>
    <n v="0"/>
    <n v="0"/>
    <x v="4"/>
    <n v="-80"/>
    <n v="0"/>
    <n v="0"/>
  </r>
  <r>
    <m/>
    <s v="Competent Person for Fall Protection Course (Resident)"/>
    <s v="A-493-0103"/>
    <s v="12JY"/>
    <s v="Coronado, CA"/>
    <d v="2024-01-22T00:00:00"/>
    <d v="2024-01-26T00:00:00"/>
    <d v="1899-12-30T08:00:00"/>
    <m/>
    <m/>
    <m/>
    <m/>
    <m/>
    <m/>
    <s v="SOH Contractor"/>
    <m/>
    <e v="#REF!"/>
    <e v="#REF!"/>
    <m/>
    <m/>
    <m/>
    <n v="25"/>
    <n v="5"/>
    <n v="19"/>
    <n v="0"/>
    <n v="7"/>
    <n v="2"/>
    <n v="0"/>
    <x v="1"/>
    <n v="-78"/>
    <n v="0"/>
    <n v="0"/>
  </r>
  <r>
    <m/>
    <s v="Confined Space Safety"/>
    <s v="A-493-0030"/>
    <s v="286X"/>
    <s v="San Diego, CA"/>
    <d v="2024-01-22T00:00:00"/>
    <d v="2024-01-26T00:00:00"/>
    <d v="1899-12-30T08:00:00"/>
    <m/>
    <m/>
    <m/>
    <m/>
    <m/>
    <m/>
    <s v="IH Contractor"/>
    <m/>
    <e v="#REF!"/>
    <e v="#REF!"/>
    <m/>
    <m/>
    <m/>
    <n v="25"/>
    <n v="5"/>
    <n v="22"/>
    <n v="0"/>
    <n v="5"/>
    <n v="2"/>
    <n v="0"/>
    <x v="2"/>
    <n v="-78"/>
    <n v="0"/>
    <n v="0"/>
  </r>
  <r>
    <m/>
    <s v="General Industry Safety Standards (Global Online) "/>
    <s v="A-493-0061"/>
    <s v="288E"/>
    <s v="Global Online"/>
    <d v="2024-01-22T00:00:00"/>
    <d v="2024-01-26T00:00:00"/>
    <m/>
    <d v="1899-12-30T11:00:00"/>
    <d v="1899-12-30T08:00:00"/>
    <d v="1899-12-30T19:00:00"/>
    <d v="1899-12-30T17:00:00"/>
    <d v="1899-12-30T06:00:00"/>
    <d v="1899-12-30T01:00:00"/>
    <s v="S. Griffin"/>
    <m/>
    <e v="#REF!"/>
    <e v="#REF!"/>
    <m/>
    <m/>
    <m/>
    <n v="45"/>
    <n v="5"/>
    <n v="11"/>
    <n v="1"/>
    <n v="1"/>
    <n v="0"/>
    <n v="0"/>
    <x v="1"/>
    <n v="-78"/>
    <n v="0"/>
    <n v="0"/>
  </r>
  <r>
    <m/>
    <s v="Hazardous Material Control and Management [HMC&amp;M] Technician (Global Online)"/>
    <s v="A-322-2604"/>
    <s v="10ZZ"/>
    <s v="Global Online"/>
    <d v="2024-01-22T00:00:00"/>
    <d v="2024-01-26T00:00:00"/>
    <m/>
    <d v="1899-12-30T13:00:00"/>
    <d v="1899-12-30T10:00:00"/>
    <d v="1899-12-30T21:00:00"/>
    <d v="1899-12-30T19:00:00"/>
    <d v="1899-12-30T08:00:00"/>
    <d v="1899-12-30T03:00:00"/>
    <s v="LSC Rouse "/>
    <m/>
    <e v="#REF!"/>
    <e v="#REF!"/>
    <m/>
    <m/>
    <m/>
    <n v="45"/>
    <n v="5"/>
    <n v="38"/>
    <n v="0"/>
    <n v="9"/>
    <n v="0"/>
    <n v="0"/>
    <x v="3"/>
    <n v="-78"/>
    <n v="0"/>
    <n v="0"/>
  </r>
  <r>
    <m/>
    <s v="Incident Command System 300 (ICS 300)"/>
    <s v="A-493-2300"/>
    <s v="993F"/>
    <s v="Yokosuka, Japan"/>
    <d v="2024-01-22T00:00:00"/>
    <d v="2024-01-23T00:00:00"/>
    <d v="1899-12-30T08:00:00"/>
    <m/>
    <m/>
    <m/>
    <m/>
    <m/>
    <m/>
    <s v="ENV Contractor"/>
    <m/>
    <e v="#REF!"/>
    <e v="#REF!"/>
    <m/>
    <m/>
    <m/>
    <n v="30"/>
    <n v="2"/>
    <n v="33"/>
    <n v="0"/>
    <n v="10"/>
    <n v="13"/>
    <n v="0"/>
    <x v="4"/>
    <n v="-81"/>
    <n v="0"/>
    <n v="0"/>
  </r>
  <r>
    <m/>
    <s v="Introduction to Naval Safety and Occupational Health (Global Online) "/>
    <s v="A-493-0550"/>
    <s v="09K5"/>
    <s v="Global Online"/>
    <d v="2024-01-22T00:00:00"/>
    <d v="2024-01-26T00:00:00"/>
    <m/>
    <d v="1899-12-30T13:00:00"/>
    <d v="1899-12-30T10:00:00"/>
    <d v="1899-12-30T21:00:00"/>
    <d v="1899-12-30T19:00:00"/>
    <d v="1899-12-30T08:00:00"/>
    <d v="1899-12-30T03:00:00"/>
    <s v="D. Rodriguez"/>
    <m/>
    <e v="#REF!"/>
    <e v="#REF!"/>
    <m/>
    <m/>
    <m/>
    <n v="45"/>
    <n v="4"/>
    <n v="38"/>
    <n v="1"/>
    <n v="7"/>
    <n v="1"/>
    <n v="0"/>
    <x v="2"/>
    <n v="-78"/>
    <n v="0"/>
    <n v="0"/>
  </r>
  <r>
    <s v=" "/>
    <s v="Mishap Investigation (Global Online) "/>
    <s v="A-493-0078"/>
    <n v="1228"/>
    <s v="Global Online"/>
    <d v="2024-01-22T00:00:00"/>
    <d v="2024-01-26T00:00:00"/>
    <m/>
    <d v="1899-12-30T19:00:00"/>
    <d v="1899-12-30T16:00:00"/>
    <d v="1899-12-30T03:00:00"/>
    <d v="1899-12-30T01:00:00"/>
    <d v="1899-12-30T14:00:00"/>
    <d v="1899-12-30T09:00:00"/>
    <s v="T. White"/>
    <m/>
    <e v="#REF!"/>
    <e v="#REF!"/>
    <m/>
    <m/>
    <m/>
    <n v="45"/>
    <n v="5"/>
    <n v="25"/>
    <n v="0"/>
    <n v="1"/>
    <n v="0"/>
    <n v="0"/>
    <x v="2"/>
    <n v="-78"/>
    <n v="0"/>
    <n v="0"/>
  </r>
  <r>
    <m/>
    <s v="Facility Response Team (FRT) Three Day"/>
    <s v="A-493-0013"/>
    <n v="3683"/>
    <s v="Andros, Bahamas"/>
    <d v="2024-01-23T00:00:00"/>
    <d v="2024-01-25T00:00:00"/>
    <d v="1899-12-30T08:00:00"/>
    <m/>
    <m/>
    <m/>
    <m/>
    <m/>
    <m/>
    <s v="ENV Contractor"/>
    <m/>
    <e v="#REF!"/>
    <e v="#REF!"/>
    <m/>
    <m/>
    <m/>
    <n v="40"/>
    <n v="3"/>
    <n v="16"/>
    <n v="0"/>
    <n v="1"/>
    <n v="3"/>
    <n v="0"/>
    <x v="4"/>
    <n v="-79"/>
    <n v="0"/>
    <n v="0"/>
  </r>
  <r>
    <m/>
    <s v="Fall Protection Program Manager Course (Global Online)"/>
    <s v="A-493-0099"/>
    <s v="12JW"/>
    <s v="Global Online"/>
    <d v="2024-01-23T00:00:00"/>
    <d v="2024-01-25T00:00:00"/>
    <m/>
    <d v="1899-12-30T13:00:00"/>
    <d v="1899-12-30T10:00:00"/>
    <d v="1899-12-30T21:00:00"/>
    <d v="1899-12-30T19:00:00"/>
    <d v="1899-12-30T08:00:00"/>
    <d v="1899-12-30T03:00:00"/>
    <s v="V. Kentish"/>
    <m/>
    <e v="#REF!"/>
    <e v="#REF!"/>
    <m/>
    <m/>
    <m/>
    <n v="45"/>
    <n v="3"/>
    <n v="40"/>
    <n v="0"/>
    <n v="4"/>
    <n v="0"/>
    <n v="0"/>
    <x v="1"/>
    <n v="-79"/>
    <n v="0"/>
    <n v="0"/>
  </r>
  <r>
    <s v="23-26 Jan"/>
    <s v="Respiratory Protection Program Management"/>
    <s v="A-493-0072"/>
    <s v="713U"/>
    <s v="Mayport, FL"/>
    <d v="2024-01-23T00:00:00"/>
    <d v="2024-01-26T00:00:00"/>
    <d v="1899-12-30T08:00:00"/>
    <m/>
    <m/>
    <m/>
    <m/>
    <m/>
    <m/>
    <s v="B. Winslow"/>
    <s v="A. Harris"/>
    <e v="#REF!"/>
    <e v="#REF!"/>
    <m/>
    <m/>
    <m/>
    <n v="30"/>
    <n v="4"/>
    <n v="28"/>
    <n v="0"/>
    <n v="2"/>
    <n v="0"/>
    <n v="0"/>
    <x v="3"/>
    <n v="-78"/>
    <n v="0"/>
    <n v="0"/>
  </r>
  <r>
    <m/>
    <s v="Oil Hazardous Substance Spill Response Tabletop Exercise (OHS TTX)"/>
    <s v="A-493-2501"/>
    <s v="05ZE"/>
    <s v="Yokosuka, Japan"/>
    <d v="2024-01-25T00:00:00"/>
    <d v="2024-01-25T00:00:00"/>
    <d v="1899-12-30T08:00:00"/>
    <m/>
    <m/>
    <m/>
    <m/>
    <m/>
    <m/>
    <s v="ENV Contractor"/>
    <m/>
    <e v="#REF!"/>
    <e v="#REF!"/>
    <m/>
    <m/>
    <m/>
    <n v="30"/>
    <n v="1"/>
    <n v="31"/>
    <n v="0"/>
    <n v="15"/>
    <n v="12"/>
    <n v="10"/>
    <x v="4"/>
    <n v="-79"/>
    <n v="0"/>
    <n v="0"/>
  </r>
  <r>
    <m/>
    <s v="Incident Command System 400 (ICS 400)"/>
    <s v="A-493-0216"/>
    <s v="12X8"/>
    <s v="Yokosuka, Japan"/>
    <d v="2024-01-26T00:00:00"/>
    <d v="2024-01-26T00:00:00"/>
    <d v="1899-12-30T08:00:00"/>
    <m/>
    <m/>
    <m/>
    <m/>
    <m/>
    <m/>
    <s v="ENV Contractor"/>
    <m/>
    <e v="#REF!"/>
    <e v="#REF!"/>
    <m/>
    <m/>
    <m/>
    <n v="30"/>
    <n v="1"/>
    <n v="29"/>
    <n v="0"/>
    <n v="13"/>
    <n v="12"/>
    <n v="8"/>
    <x v="2"/>
    <n v="-78"/>
    <n v="0"/>
    <n v="0"/>
  </r>
  <r>
    <m/>
    <s v="Industrial Noise"/>
    <s v="A-493-0092"/>
    <n v="5891"/>
    <s v="Mayport, FL"/>
    <d v="2024-01-29T00:00:00"/>
    <d v="2024-01-31T00:00:00"/>
    <d v="1899-12-30T08:00:00"/>
    <m/>
    <m/>
    <m/>
    <m/>
    <m/>
    <m/>
    <s v="B. Winslow"/>
    <s v="A. Harris"/>
    <e v="#REF!"/>
    <e v="#REF!"/>
    <m/>
    <m/>
    <m/>
    <n v="25"/>
    <n v="3"/>
    <n v="14"/>
    <n v="0"/>
    <n v="2"/>
    <n v="2"/>
    <n v="0"/>
    <x v="2"/>
    <n v="-73"/>
    <n v="0"/>
    <n v="0"/>
  </r>
  <r>
    <m/>
    <s v="Hazardous Material Control and Management [HMC&amp;M] Technician (Global Online)"/>
    <s v="A-322-2604"/>
    <s v="10ZZ"/>
    <s v="Global Online"/>
    <d v="2024-01-29T00:00:00"/>
    <d v="2024-02-02T00:00:00"/>
    <m/>
    <d v="1899-12-30T08:00:00"/>
    <d v="1899-12-30T05:00:00"/>
    <d v="1899-12-30T16:00:00"/>
    <d v="1899-12-30T14:00:00"/>
    <d v="1899-12-30T03:00:00"/>
    <d v="1899-12-30T22:00:00"/>
    <s v="LSC Rouse "/>
    <m/>
    <e v="#REF!"/>
    <e v="#REF!"/>
    <m/>
    <m/>
    <m/>
    <n v="45"/>
    <n v="5"/>
    <n v="41"/>
    <n v="0"/>
    <n v="6"/>
    <n v="3"/>
    <n v="0"/>
    <x v="3"/>
    <n v="-71"/>
    <n v="0"/>
    <n v="0"/>
  </r>
  <r>
    <m/>
    <s v="Introduction to Industrial Hygiene for Safety Professionals (Global Online) "/>
    <s v="A-493-0335"/>
    <s v="09ND"/>
    <s v="Global Online"/>
    <d v="2024-01-29T00:00:00"/>
    <d v="2024-02-01T00:00:00"/>
    <m/>
    <d v="1899-12-30T08:00:00"/>
    <d v="1899-12-30T06:00:00"/>
    <d v="1899-12-30T17:00:00"/>
    <d v="1899-12-30T15:00:00"/>
    <d v="1899-12-30T04:00:00"/>
    <d v="1899-12-30T23:00:00"/>
    <s v="W. Mitchell"/>
    <s v="B. Jung"/>
    <e v="#REF!"/>
    <e v="#REF!"/>
    <m/>
    <m/>
    <m/>
    <n v="30"/>
    <n v="4"/>
    <n v="27"/>
    <n v="1"/>
    <n v="3"/>
    <n v="0"/>
    <n v="0"/>
    <x v="3"/>
    <n v="-72"/>
    <n v="0"/>
    <n v="0"/>
  </r>
  <r>
    <m/>
    <s v="Operational Risk Management Application &amp; Integration (Global Online)"/>
    <s v="A-570-0100"/>
    <s v="18B7"/>
    <s v="Global Online"/>
    <d v="2024-01-29T00:00:00"/>
    <d v="2024-02-01T00:00:00"/>
    <m/>
    <d v="1899-12-30T13:00:00"/>
    <d v="1899-12-30T10:00:00"/>
    <d v="1899-12-30T21:00:00"/>
    <d v="1899-12-30T19:00:00"/>
    <d v="1899-12-30T08:00:00"/>
    <d v="1899-12-30T03:00:00"/>
    <s v="BMC Sosaya"/>
    <m/>
    <e v="#REF!"/>
    <e v="#REF!"/>
    <m/>
    <m/>
    <m/>
    <n v="30"/>
    <n v="4"/>
    <n v="20"/>
    <n v="2"/>
    <n v="10"/>
    <n v="2"/>
    <n v="0"/>
    <x v="3"/>
    <n v="-72"/>
    <n v="0"/>
    <n v="0"/>
  </r>
  <r>
    <m/>
    <s v="Safety Programs Afloat (Global Online) "/>
    <s v="A-493-2098"/>
    <s v="09WW"/>
    <s v="Global Online"/>
    <d v="2024-01-29T00:00:00"/>
    <d v="2024-02-02T00:00:00"/>
    <m/>
    <d v="1899-12-30T13:00:00"/>
    <d v="1899-12-30T10:00:00"/>
    <d v="1899-12-30T21:00:00"/>
    <d v="1899-12-30T19:00:00"/>
    <d v="1899-12-30T08:00:00"/>
    <d v="1899-12-30T03:00:00"/>
    <s v="LSC Rouse "/>
    <m/>
    <e v="#REF!"/>
    <e v="#REF!"/>
    <m/>
    <m/>
    <m/>
    <n v="100"/>
    <n v="5"/>
    <n v="88"/>
    <n v="4"/>
    <n v="11"/>
    <n v="0"/>
    <n v="0"/>
    <x v="2"/>
    <n v="-71"/>
    <n v="0"/>
    <n v="0"/>
  </r>
  <r>
    <m/>
    <s v="Aviation Safety Specialist (Global Online) "/>
    <s v="A-493-0665"/>
    <s v="10KW"/>
    <s v="Global Online"/>
    <d v="2024-02-05T00:00:00"/>
    <d v="2024-02-09T00:00:00"/>
    <m/>
    <d v="1899-12-30T08:00:00"/>
    <d v="1899-12-30T05:00:00"/>
    <d v="1899-12-30T16:00:00"/>
    <d v="1899-12-30T14:00:00"/>
    <d v="1899-12-30T03:00:00"/>
    <d v="1899-12-30T22:00:00"/>
    <s v="LSC Rouse "/>
    <m/>
    <e v="#REF!"/>
    <e v="#REF!"/>
    <m/>
    <m/>
    <m/>
    <n v="45"/>
    <n v="5"/>
    <n v="33"/>
    <n v="2"/>
    <n v="9"/>
    <n v="0"/>
    <n v="0"/>
    <x v="4"/>
    <n v="-64"/>
    <n v="0"/>
    <n v="0"/>
  </r>
  <r>
    <m/>
    <s v="Competent Person for Fall Protection Course (Resident)"/>
    <s v="A-493-0103"/>
    <s v="12JY"/>
    <s v="Mayport, FL"/>
    <d v="2024-02-05T00:00:00"/>
    <d v="2024-02-09T00:00:00"/>
    <d v="1899-12-30T08:00:00"/>
    <m/>
    <m/>
    <m/>
    <m/>
    <m/>
    <m/>
    <s v="SOH Contractor"/>
    <m/>
    <e v="#REF!"/>
    <e v="#REF!"/>
    <m/>
    <m/>
    <m/>
    <n v="25"/>
    <n v="5"/>
    <n v="16"/>
    <n v="0"/>
    <n v="10"/>
    <n v="0"/>
    <n v="0"/>
    <x v="1"/>
    <n v="-64"/>
    <n v="0"/>
    <n v="0"/>
  </r>
  <r>
    <m/>
    <s v="Facility Response Team (FRT) Three Day"/>
    <s v="A-493-0013"/>
    <n v="3683"/>
    <s v="Ventura County, CA"/>
    <d v="2024-02-05T00:00:00"/>
    <d v="2024-02-07T00:00:00"/>
    <d v="1899-12-30T08:00:00"/>
    <m/>
    <m/>
    <m/>
    <m/>
    <m/>
    <m/>
    <s v="ENV Contractor"/>
    <m/>
    <e v="#REF!"/>
    <e v="#REF!"/>
    <m/>
    <m/>
    <m/>
    <n v="40"/>
    <n v="3"/>
    <n v="14"/>
    <n v="0"/>
    <n v="1"/>
    <n v="4"/>
    <n v="0"/>
    <x v="4"/>
    <n v="-66"/>
    <n v="0"/>
    <n v="0"/>
  </r>
  <r>
    <m/>
    <s v="General Industry Safety Standards (Global Online) "/>
    <s v="A-493-0061"/>
    <s v="288E"/>
    <s v="Global Online"/>
    <d v="2024-02-05T00:00:00"/>
    <d v="2024-02-09T00:00:00"/>
    <m/>
    <d v="1899-12-30T19:00:00"/>
    <d v="1899-12-30T16:00:00"/>
    <d v="1899-12-30T03:00:00"/>
    <d v="1899-12-30T01:00:00"/>
    <d v="1899-12-30T14:00:00"/>
    <d v="1899-12-30T09:00:00"/>
    <s v="S. Griffin"/>
    <m/>
    <e v="#REF!"/>
    <e v="#REF!"/>
    <m/>
    <m/>
    <m/>
    <n v="45"/>
    <n v="5"/>
    <n v="10"/>
    <n v="0"/>
    <n v="1"/>
    <n v="1"/>
    <n v="0"/>
    <x v="1"/>
    <n v="-64"/>
    <n v="0"/>
    <n v="0"/>
  </r>
  <r>
    <m/>
    <s v="Hazardous Material Control and Management [HMC&amp;M] Technician (Global Online)"/>
    <s v="A-322-2604"/>
    <s v="10ZZ"/>
    <s v="Global Online"/>
    <d v="2024-02-05T00:00:00"/>
    <d v="2024-02-09T00:00:00"/>
    <m/>
    <d v="1899-12-30T13:00:00"/>
    <d v="1899-12-30T10:00:00"/>
    <d v="1899-12-30T21:00:00"/>
    <d v="1899-12-30T19:00:00"/>
    <d v="1899-12-30T08:00:00"/>
    <d v="1899-12-30T03:00:00"/>
    <s v="LSC Rouse "/>
    <m/>
    <e v="#REF!"/>
    <e v="#REF!"/>
    <m/>
    <m/>
    <m/>
    <n v="45"/>
    <n v="5"/>
    <n v="40"/>
    <n v="1"/>
    <n v="5"/>
    <n v="0"/>
    <n v="0"/>
    <x v="3"/>
    <n v="-64"/>
    <n v="0"/>
    <n v="0"/>
  </r>
  <r>
    <m/>
    <s v="Introduction to Naval Safety and Occupational Health (Global Online) "/>
    <s v="A-493-0550"/>
    <s v="09K5"/>
    <s v="Global Online"/>
    <d v="2024-02-05T00:00:00"/>
    <d v="2024-02-09T00:00:00"/>
    <m/>
    <d v="1899-12-30T19:00:00"/>
    <d v="1899-12-30T16:00:00"/>
    <d v="1899-12-30T03:00:00"/>
    <d v="1899-12-30T01:00:00"/>
    <d v="1899-12-30T14:00:00"/>
    <d v="1899-12-30T09:00:00"/>
    <s v="D. Rodriguez"/>
    <m/>
    <e v="#REF!"/>
    <e v="#REF!"/>
    <m/>
    <m/>
    <m/>
    <n v="45"/>
    <n v="4"/>
    <n v="36"/>
    <n v="1"/>
    <n v="8"/>
    <n v="2"/>
    <n v="0"/>
    <x v="2"/>
    <n v="-64"/>
    <n v="0"/>
    <n v="0"/>
  </r>
  <r>
    <m/>
    <s v="Mishap Investigation (Global Online) "/>
    <s v="A-493-0078"/>
    <n v="1228"/>
    <s v="Global Online"/>
    <d v="2024-02-05T00:00:00"/>
    <d v="2024-02-09T00:00:00"/>
    <m/>
    <d v="1899-12-30T10:00:00"/>
    <d v="1899-12-30T07:00:00"/>
    <d v="1899-12-30T18:00:00"/>
    <d v="1899-12-30T16:00:00"/>
    <d v="1899-12-30T05:00:00"/>
    <d v="1899-12-30T00:00:00"/>
    <s v="T. White"/>
    <m/>
    <e v="#REF!"/>
    <e v="#REF!"/>
    <m/>
    <m/>
    <m/>
    <n v="45"/>
    <n v="5"/>
    <n v="34"/>
    <n v="0"/>
    <n v="3"/>
    <n v="0"/>
    <n v="0"/>
    <x v="2"/>
    <n v="-64"/>
    <n v="0"/>
    <n v="0"/>
  </r>
  <r>
    <m/>
    <s v="Submarine Safety Officer (Global Online) "/>
    <s v="F-4J-0023"/>
    <s v="11A2"/>
    <s v="Global Online"/>
    <d v="2024-02-05T00:00:00"/>
    <d v="2024-02-09T00:00:00"/>
    <m/>
    <d v="1899-12-30T13:00:00"/>
    <d v="1899-12-30T10:00:00"/>
    <d v="1899-12-30T21:00:00"/>
    <d v="1899-12-30T19:00:00"/>
    <d v="1899-12-30T08:00:00"/>
    <d v="1899-12-30T03:00:00"/>
    <s v="LCDR Overton"/>
    <s v="LTJG Andrew"/>
    <e v="#REF!"/>
    <e v="#REF!"/>
    <m/>
    <m/>
    <m/>
    <n v="25"/>
    <n v="2"/>
    <n v="7"/>
    <n v="0"/>
    <n v="4"/>
    <n v="0"/>
    <n v="0"/>
    <x v="3"/>
    <n v="-64"/>
    <n v="0"/>
    <n v="0"/>
  </r>
  <r>
    <m/>
    <s v="Tank Managers "/>
    <s v="A-493-2017"/>
    <s v="12x3"/>
    <s v="Baltimore, MD"/>
    <d v="2024-02-05T00:00:00"/>
    <d v="2024-02-09T00:00:00"/>
    <d v="1899-12-30T08:00:00"/>
    <m/>
    <m/>
    <m/>
    <m/>
    <m/>
    <m/>
    <s v="ENV Contractor"/>
    <m/>
    <e v="#REF!"/>
    <e v="#REF!"/>
    <m/>
    <m/>
    <m/>
    <n v="25"/>
    <n v="2"/>
    <n v="25"/>
    <n v="0"/>
    <n v="8"/>
    <n v="9"/>
    <n v="0"/>
    <x v="7"/>
    <n v="-64"/>
    <n v="0"/>
    <n v="0"/>
  </r>
  <r>
    <m/>
    <s v="Hazardous Substance Incident Response Management (HSIRM)"/>
    <s v="A-493-0077"/>
    <s v="0381"/>
    <s v="Bangor, WA"/>
    <d v="2024-02-05T00:00:00"/>
    <d v="2024-02-07T00:00:00"/>
    <d v="1899-12-30T08:00:00"/>
    <m/>
    <m/>
    <m/>
    <m/>
    <m/>
    <m/>
    <s v="ENV Contractor"/>
    <m/>
    <e v="#REF!"/>
    <e v="#REF!"/>
    <m/>
    <m/>
    <m/>
    <n v="25"/>
    <n v="3"/>
    <n v="19"/>
    <n v="0"/>
    <n v="5"/>
    <n v="0"/>
    <n v="0"/>
    <x v="4"/>
    <n v="-66"/>
    <n v="0"/>
    <n v="0"/>
  </r>
  <r>
    <m/>
    <s v="Facility Response Team (FRT) Five Day"/>
    <s v="A-493-0012"/>
    <n v="3682"/>
    <s v="Key West, FL"/>
    <d v="2024-02-05T00:00:00"/>
    <d v="2024-02-09T00:00:00"/>
    <d v="1899-12-30T08:00:00"/>
    <m/>
    <m/>
    <m/>
    <m/>
    <m/>
    <m/>
    <s v="ENV Contractor"/>
    <m/>
    <e v="#REF!"/>
    <e v="#REF!"/>
    <m/>
    <m/>
    <m/>
    <n v="40"/>
    <n v="5"/>
    <n v="28"/>
    <n v="0"/>
    <n v="0"/>
    <n v="0"/>
    <n v="0"/>
    <x v="4"/>
    <n v="-64"/>
    <n v="0"/>
    <n v="0"/>
  </r>
  <r>
    <m/>
    <s v="Fall Protection Program Manager Course (Global Online)"/>
    <s v="A-493-0099"/>
    <s v="12JW"/>
    <s v="Global Online"/>
    <d v="2024-02-06T00:00:00"/>
    <d v="2024-02-08T00:00:00"/>
    <m/>
    <d v="1899-12-30T08:00:00"/>
    <d v="1899-12-30T05:00:00"/>
    <d v="1899-12-30T16:00:00"/>
    <d v="1899-12-30T14:00:00"/>
    <d v="1899-12-30T03:00:00"/>
    <d v="1899-12-30T22:00:00"/>
    <s v="V. Kentish"/>
    <m/>
    <e v="#REF!"/>
    <e v="#REF!"/>
    <m/>
    <m/>
    <m/>
    <n v="45"/>
    <n v="3"/>
    <n v="32"/>
    <n v="0"/>
    <n v="5"/>
    <n v="0"/>
    <n v="0"/>
    <x v="1"/>
    <n v="-65"/>
    <n v="0"/>
    <n v="0"/>
  </r>
  <r>
    <m/>
    <s v="Fire Protection and Life Safety"/>
    <s v="A-493-0075 "/>
    <s v="714U"/>
    <s v="Port Hueneme, CA"/>
    <d v="2024-02-06T00:00:00"/>
    <d v="2024-02-09T00:00:00"/>
    <d v="1899-12-30T08:00:00"/>
    <m/>
    <m/>
    <m/>
    <m/>
    <m/>
    <m/>
    <s v="SOH Contractor"/>
    <m/>
    <e v="#REF!"/>
    <e v="#REF!"/>
    <m/>
    <m/>
    <m/>
    <n v="30"/>
    <n v="4"/>
    <n v="8"/>
    <n v="0"/>
    <n v="1"/>
    <n v="0"/>
    <n v="0"/>
    <x v="1"/>
    <n v="-64"/>
    <n v="0"/>
    <n v="0"/>
  </r>
  <r>
    <m/>
    <s v="Introduction to Hazardous Materials [Ashore] (Global Online) "/>
    <s v="A-493-0331"/>
    <s v="10UG"/>
    <s v="Global Online"/>
    <d v="2024-02-06T00:00:00"/>
    <d v="2024-02-08T00:00:00"/>
    <m/>
    <d v="1899-12-30T12:00:00"/>
    <d v="1899-12-30T09:00:00"/>
    <d v="1899-12-30T20:00:00"/>
    <d v="1899-12-30T18:00:00"/>
    <d v="1899-12-30T07:00:00"/>
    <d v="1899-12-30T02:00:00"/>
    <s v="B. Winslow"/>
    <s v="A. Harris"/>
    <e v="#REF!"/>
    <e v="#REF!"/>
    <m/>
    <m/>
    <m/>
    <n v="40"/>
    <n v="3"/>
    <n v="33"/>
    <n v="0"/>
    <n v="8"/>
    <n v="0"/>
    <n v="0"/>
    <x v="3"/>
    <n v="-65"/>
    <n v="0"/>
    <n v="0"/>
  </r>
  <r>
    <m/>
    <s v="Hazardous Substance Incident Response Management (HSIRM) Refresher"/>
    <s v="A-493-0083"/>
    <s v="339E"/>
    <s v="Bangor, WA"/>
    <d v="2024-02-08T00:00:00"/>
    <d v="2024-02-08T00:00:00"/>
    <d v="1899-12-30T08:00:00"/>
    <m/>
    <m/>
    <m/>
    <m/>
    <m/>
    <m/>
    <s v="ENV Contractor"/>
    <m/>
    <e v="#REF!"/>
    <e v="#REF!"/>
    <m/>
    <m/>
    <m/>
    <n v="30"/>
    <n v="1"/>
    <n v="30"/>
    <n v="0"/>
    <n v="1"/>
    <n v="1"/>
    <n v="0"/>
    <x v="7"/>
    <n v="-65"/>
    <n v="0"/>
    <n v="0"/>
  </r>
  <r>
    <m/>
    <s v="Facility Response Team (FRT) Three Day"/>
    <s v="A-493-0013"/>
    <n v="3683"/>
    <s v="Seal Beach, CA"/>
    <d v="2024-02-08T00:00:00"/>
    <d v="2024-02-10T00:00:00"/>
    <d v="1899-12-30T08:00:00"/>
    <m/>
    <m/>
    <m/>
    <m/>
    <m/>
    <m/>
    <s v="ENV Contractor"/>
    <m/>
    <e v="#REF!"/>
    <e v="#REF!"/>
    <m/>
    <m/>
    <m/>
    <n v="40"/>
    <n v="3"/>
    <n v="9"/>
    <n v="0"/>
    <n v="1"/>
    <n v="4"/>
    <n v="0"/>
    <x v="4"/>
    <n v="-63"/>
    <n v="0"/>
    <n v="0"/>
  </r>
  <r>
    <m/>
    <s v="Navy Ergonomics Program (Global Online)"/>
    <s v="A-493-0085"/>
    <n v="3555"/>
    <s v="Global Online"/>
    <d v="2024-02-12T00:00:00"/>
    <d v="2024-02-15T00:00:00"/>
    <m/>
    <d v="1899-12-30T12:00:00"/>
    <d v="1899-12-30T09:00:00"/>
    <d v="1899-12-30T19:00:00"/>
    <d v="1899-12-30T17:00:00"/>
    <d v="1899-12-30T06:00:00"/>
    <d v="1899-12-30T01:00:00"/>
    <s v="B. Winslow"/>
    <s v="A. Harris"/>
    <e v="#REF!"/>
    <e v="#REF!"/>
    <m/>
    <m/>
    <m/>
    <n v="30"/>
    <n v="4"/>
    <n v="27"/>
    <n v="1"/>
    <n v="2"/>
    <n v="0"/>
    <n v="0"/>
    <x v="3"/>
    <n v="-58"/>
    <n v="0"/>
    <n v="0"/>
  </r>
  <r>
    <m/>
    <s v="Hazardous Substance Incident Response Management (HSIRM) Refresher"/>
    <s v="A-493-0083"/>
    <s v="339E"/>
    <s v="Global Online"/>
    <d v="2024-02-12T00:00:00"/>
    <d v="2024-02-12T00:00:00"/>
    <m/>
    <d v="1903-01-04T11:00:00"/>
    <d v="1903-01-04T08:00:00"/>
    <d v="1899-12-30T19:00:00"/>
    <d v="1899-12-30T17:00:00"/>
    <d v="1899-12-30T06:00:00"/>
    <d v="1899-12-30T01:00:00"/>
    <s v="ENV Contractor"/>
    <m/>
    <e v="#REF!"/>
    <e v="#REF!"/>
    <m/>
    <m/>
    <m/>
    <n v="30"/>
    <n v="1"/>
    <n v="29"/>
    <n v="0"/>
    <n v="3"/>
    <n v="0"/>
    <n v="0"/>
    <x v="7"/>
    <n v="-61"/>
    <n v="0"/>
    <n v="0"/>
  </r>
  <r>
    <m/>
    <s v="Afloat Environmental Protection Coordinator (Global Online) "/>
    <s v="A-4J-0022"/>
    <s v="09ER"/>
    <s v="Global Online"/>
    <d v="2024-02-12T00:00:00"/>
    <d v="2024-02-16T00:00:00"/>
    <m/>
    <d v="1899-12-30T13:00:00"/>
    <d v="1899-12-30T10:00:00"/>
    <d v="1899-12-30T21:00:00"/>
    <d v="1899-12-30T19:00:00"/>
    <d v="1899-12-30T08:00:00"/>
    <d v="1899-12-30T03:00:00"/>
    <s v="BMC Sosaya"/>
    <s v="K. Seo"/>
    <e v="#REF!"/>
    <e v="#REF!"/>
    <m/>
    <m/>
    <m/>
    <n v="45"/>
    <n v="5"/>
    <n v="24"/>
    <n v="1"/>
    <n v="7"/>
    <n v="0"/>
    <n v="0"/>
    <x v="4"/>
    <n v="-57"/>
    <n v="0"/>
    <n v="0"/>
  </r>
  <r>
    <m/>
    <s v="Competent Person for Fall Protection Course (Resident)"/>
    <s v="A-493-0103"/>
    <s v="12JY"/>
    <s v="Mayport, FL"/>
    <d v="2024-02-12T00:00:00"/>
    <d v="2024-02-16T00:00:00"/>
    <d v="1899-12-30T08:00:00"/>
    <m/>
    <m/>
    <m/>
    <m/>
    <m/>
    <m/>
    <s v="SOH Contractor"/>
    <m/>
    <e v="#REF!"/>
    <e v="#REF!"/>
    <m/>
    <m/>
    <m/>
    <n v="25"/>
    <n v="5"/>
    <n v="24"/>
    <n v="0"/>
    <n v="3"/>
    <n v="2"/>
    <n v="0"/>
    <x v="1"/>
    <n v="-57"/>
    <n v="0"/>
    <n v="0"/>
  </r>
  <r>
    <m/>
    <s v="Fire Protection and Life Safety"/>
    <s v="A-493-0075 "/>
    <s v="714U"/>
    <s v="Coronado, CA"/>
    <d v="2024-02-12T00:00:00"/>
    <d v="2024-02-15T00:00:00"/>
    <d v="1899-12-30T08:00:00"/>
    <m/>
    <m/>
    <m/>
    <m/>
    <m/>
    <m/>
    <s v="SOH Contractor"/>
    <m/>
    <e v="#REF!"/>
    <e v="#REF!"/>
    <m/>
    <m/>
    <m/>
    <n v="30"/>
    <n v="4"/>
    <n v="13"/>
    <n v="0"/>
    <n v="10"/>
    <n v="0"/>
    <n v="0"/>
    <x v="1"/>
    <n v="-58"/>
    <n v="0"/>
    <n v="0"/>
  </r>
  <r>
    <m/>
    <s v="Hazardous Material Control and Management [HMC&amp;M] Technician (Global Online)"/>
    <s v="A-322-2604"/>
    <s v="10ZZ"/>
    <s v="Global Online"/>
    <d v="2024-02-12T00:00:00"/>
    <d v="2024-02-16T00:00:00"/>
    <m/>
    <d v="1899-12-30T19:00:00"/>
    <d v="1899-12-30T16:00:00"/>
    <d v="1899-12-30T02:00:00"/>
    <d v="1899-12-30T00:00:00"/>
    <d v="1899-12-30T13:00:00"/>
    <d v="1899-12-30T08:00:00"/>
    <s v="LSC Rouse "/>
    <m/>
    <e v="#REF!"/>
    <e v="#REF!"/>
    <m/>
    <m/>
    <m/>
    <n v="45"/>
    <n v="5"/>
    <n v="31"/>
    <n v="4"/>
    <n v="11"/>
    <n v="1"/>
    <n v="0"/>
    <x v="4"/>
    <n v="-57"/>
    <n v="0"/>
    <n v="0"/>
  </r>
  <r>
    <m/>
    <s v="Facility Response Team (FRT) Five Day"/>
    <s v="A-493-0012"/>
    <n v="3682"/>
    <s v="San Diego, CA"/>
    <d v="2024-02-12T00:00:00"/>
    <d v="2024-02-16T00:00:00"/>
    <d v="1899-12-30T08:00:00"/>
    <m/>
    <m/>
    <m/>
    <m/>
    <m/>
    <m/>
    <s v="ENV Contractor"/>
    <m/>
    <e v="#REF!"/>
    <e v="#REF!"/>
    <m/>
    <m/>
    <m/>
    <n v="40"/>
    <n v="5"/>
    <n v="37"/>
    <n v="0"/>
    <n v="2"/>
    <n v="25"/>
    <n v="0"/>
    <x v="4"/>
    <n v="-57"/>
    <n v="0"/>
    <n v="0"/>
  </r>
  <r>
    <m/>
    <s v="Facility Response Team (FRT) Three Day"/>
    <s v="A-493-0013"/>
    <n v="3683"/>
    <s v="Guantanamo Bay, Cuba"/>
    <d v="2024-02-13T00:00:00"/>
    <d v="2024-02-15T00:00:00"/>
    <d v="1899-12-30T08:00:00"/>
    <m/>
    <m/>
    <m/>
    <m/>
    <m/>
    <m/>
    <s v="ENV Contractor"/>
    <m/>
    <e v="#REF!"/>
    <e v="#REF!"/>
    <m/>
    <m/>
    <m/>
    <n v="40"/>
    <n v="3"/>
    <n v="37"/>
    <n v="0"/>
    <n v="3"/>
    <n v="21"/>
    <n v="20"/>
    <x v="4"/>
    <n v="-58"/>
    <n v="0"/>
    <n v="0"/>
  </r>
  <r>
    <s v="Washington's Birthday"/>
    <s v="Holiday"/>
    <s v="Holiday"/>
    <s v="Holiday"/>
    <m/>
    <d v="2024-02-19T00:00:00"/>
    <d v="2024-02-19T00:00:00"/>
    <d v="1899-12-30T00:00:00"/>
    <m/>
    <m/>
    <m/>
    <m/>
    <m/>
    <m/>
    <m/>
    <m/>
    <e v="#REF!"/>
    <e v="#REF!"/>
    <n v="0"/>
    <n v="0"/>
    <n v="0"/>
    <n v="0"/>
    <n v="0"/>
    <n v="0"/>
    <n v="0"/>
    <n v="0"/>
    <n v="0"/>
    <n v="0"/>
    <x v="5"/>
    <n v="-54"/>
    <n v="0"/>
    <n v="0"/>
  </r>
  <r>
    <m/>
    <s v="Incident Command System 300 (ICS 300) Refresher"/>
    <s v="A-493-2301"/>
    <s v="05ZD"/>
    <s v="Whidbey Island, WA"/>
    <d v="2024-02-20T00:00:00"/>
    <d v="2024-02-20T00:00:00"/>
    <d v="1899-12-30T08:00:00"/>
    <m/>
    <m/>
    <m/>
    <m/>
    <m/>
    <m/>
    <s v="ENV Contractor"/>
    <m/>
    <e v="#REF!"/>
    <e v="#REF!"/>
    <m/>
    <m/>
    <m/>
    <n v="30"/>
    <n v="1"/>
    <n v="8"/>
    <n v="0"/>
    <n v="3"/>
    <n v="2"/>
    <n v="0"/>
    <x v="4"/>
    <n v="-53"/>
    <n v="0"/>
    <n v="0"/>
  </r>
  <r>
    <m/>
    <s v="Introduction to Industrial Hygiene for Safety Professionals (Global Online) "/>
    <s v="A-493-0335"/>
    <s v="09ND"/>
    <s v="Global Online"/>
    <d v="2024-02-20T00:00:00"/>
    <d v="2024-02-23T00:00:00"/>
    <m/>
    <d v="1899-12-30T12:00:00"/>
    <d v="1899-12-30T09:00:00"/>
    <d v="1899-12-30T20:00:00"/>
    <d v="1899-12-30T18:00:00"/>
    <d v="1899-12-30T07:00:00"/>
    <d v="1899-12-30T02:00:00"/>
    <s v="B. Jung"/>
    <m/>
    <e v="#REF!"/>
    <e v="#REF!"/>
    <m/>
    <m/>
    <m/>
    <n v="30"/>
    <n v="4"/>
    <n v="31"/>
    <n v="0"/>
    <n v="3"/>
    <n v="0"/>
    <n v="0"/>
    <x v="3"/>
    <n v="-50"/>
    <n v="0"/>
    <n v="0"/>
  </r>
  <r>
    <m/>
    <s v="Machinery and Machine Guarding Standards (Global Online) "/>
    <s v="A-493-0073"/>
    <s v="714S"/>
    <s v="Global Online"/>
    <d v="2024-02-20T00:00:00"/>
    <d v="2024-02-23T00:00:00"/>
    <m/>
    <d v="1899-12-30T13:00:00"/>
    <d v="1899-12-30T10:00:00"/>
    <d v="1899-12-30T21:00:00"/>
    <d v="1899-12-30T19:00:00"/>
    <d v="1899-12-30T08:00:00"/>
    <d v="1899-12-30T03:00:00"/>
    <s v="SOH Contractor"/>
    <m/>
    <e v="#REF!"/>
    <e v="#REF!"/>
    <m/>
    <m/>
    <m/>
    <n v="30"/>
    <n v="4"/>
    <n v="23"/>
    <n v="0"/>
    <n v="6"/>
    <n v="0"/>
    <n v="0"/>
    <x v="1"/>
    <n v="-50"/>
    <n v="0"/>
    <n v="0"/>
  </r>
  <r>
    <m/>
    <s v="Industrial Noise"/>
    <s v="A-493-0092"/>
    <n v="5891"/>
    <s v="Corpus Christi, TX"/>
    <d v="2024-02-21T00:00:00"/>
    <d v="2024-02-23T00:00:00"/>
    <d v="1899-12-30T08:00:00"/>
    <m/>
    <m/>
    <m/>
    <m/>
    <m/>
    <m/>
    <s v="W. Mitchell"/>
    <s v="CDR Schaal"/>
    <e v="#REF!"/>
    <e v="#REF!"/>
    <m/>
    <m/>
    <m/>
    <n v="25"/>
    <n v="3"/>
    <n v="9"/>
    <n v="0"/>
    <n v="0"/>
    <n v="0"/>
    <n v="0"/>
    <x v="4"/>
    <n v="-50"/>
    <n v="0"/>
    <n v="0"/>
  </r>
  <r>
    <m/>
    <s v="Asbestos Supervisor Refresher"/>
    <s v="A-493-0070"/>
    <s v="450V"/>
    <s v="Global Online"/>
    <d v="2024-02-26T00:00:00"/>
    <d v="2024-02-27T00:00:00"/>
    <m/>
    <d v="1899-12-30T18:00:00"/>
    <d v="1899-12-30T15:00:00"/>
    <d v="1899-12-30T02:00:00"/>
    <d v="1899-12-30T00:00:00"/>
    <d v="1899-12-30T13:00:00"/>
    <d v="1899-12-30T08:00:00"/>
    <s v="B. Jung"/>
    <m/>
    <e v="#REF!"/>
    <e v="#REF!"/>
    <m/>
    <m/>
    <m/>
    <n v="30"/>
    <n v="1"/>
    <n v="22"/>
    <n v="0"/>
    <n v="0"/>
    <n v="0"/>
    <n v="0"/>
    <x v="3"/>
    <n v="-46"/>
    <n v="0"/>
    <n v="0"/>
  </r>
  <r>
    <m/>
    <s v="Competent Person for Fall Protection Course (Resident)"/>
    <s v="A-493-0103"/>
    <s v="12JY"/>
    <s v="Sasebo, Japan"/>
    <d v="2024-02-26T00:00:00"/>
    <d v="2024-03-01T00:00:00"/>
    <d v="1899-12-30T08:00:00"/>
    <m/>
    <m/>
    <m/>
    <m/>
    <m/>
    <m/>
    <s v="SOH Contractor"/>
    <m/>
    <e v="#REF!"/>
    <e v="#REF!"/>
    <m/>
    <m/>
    <m/>
    <n v="25"/>
    <n v="5"/>
    <n v="20"/>
    <n v="0"/>
    <n v="5"/>
    <n v="0"/>
    <n v="0"/>
    <x v="1"/>
    <n v="-43"/>
    <n v="0"/>
    <n v="0"/>
  </r>
  <r>
    <m/>
    <s v="Hazardous Material Control and Management [HMC&amp;M] Technician (Global Online)"/>
    <s v="A-322-2604"/>
    <s v="10ZZ"/>
    <s v="Global Online"/>
    <d v="2024-02-26T00:00:00"/>
    <d v="2024-03-01T00:00:00"/>
    <m/>
    <d v="1899-12-30T08:00:00"/>
    <d v="1899-12-30T05:00:00"/>
    <d v="1899-12-30T16:00:00"/>
    <d v="1899-12-30T14:00:00"/>
    <d v="1899-12-30T03:00:00"/>
    <d v="1899-12-30T22:00:00"/>
    <s v="LSC Rouse "/>
    <m/>
    <e v="#REF!"/>
    <e v="#REF!"/>
    <m/>
    <m/>
    <m/>
    <n v="45"/>
    <n v="5"/>
    <n v="43"/>
    <n v="1"/>
    <n v="2"/>
    <n v="0"/>
    <n v="0"/>
    <x v="3"/>
    <n v="-43"/>
    <n v="0"/>
    <n v="0"/>
  </r>
  <r>
    <m/>
    <s v="Incident Command System 300 (ICS 300)"/>
    <s v="A-493-2300"/>
    <s v="993F"/>
    <s v="Pearl Harbor, HI"/>
    <d v="2024-02-26T00:00:00"/>
    <d v="2024-02-27T00:00:00"/>
    <d v="1899-12-30T08:00:00"/>
    <m/>
    <m/>
    <m/>
    <m/>
    <m/>
    <m/>
    <s v="ENV Contractor"/>
    <m/>
    <e v="#REF!"/>
    <e v="#REF!"/>
    <m/>
    <m/>
    <m/>
    <n v="30"/>
    <n v="2"/>
    <n v="14"/>
    <n v="0"/>
    <n v="3"/>
    <n v="3"/>
    <n v="0"/>
    <x v="4"/>
    <n v="-46"/>
    <n v="0"/>
    <n v="0"/>
  </r>
  <r>
    <m/>
    <s v="Introduction to Naval Safety and Occupational Health (Global Online) "/>
    <s v="A-493-0550"/>
    <s v="09K5"/>
    <s v="Global Online"/>
    <d v="2024-02-26T00:00:00"/>
    <d v="2024-03-01T00:00:00"/>
    <m/>
    <d v="1899-12-30T08:00:00"/>
    <d v="1899-12-30T05:00:00"/>
    <d v="1899-12-30T16:00:00"/>
    <d v="1899-12-30T14:00:00"/>
    <d v="1899-12-30T03:00:00"/>
    <d v="1899-12-30T22:00:00"/>
    <s v="D. Rodriguez"/>
    <m/>
    <e v="#REF!"/>
    <e v="#REF!"/>
    <m/>
    <m/>
    <m/>
    <n v="45"/>
    <n v="4"/>
    <n v="39"/>
    <n v="0"/>
    <n v="9"/>
    <n v="4"/>
    <n v="0"/>
    <x v="2"/>
    <n v="-43"/>
    <n v="0"/>
    <n v="0"/>
  </r>
  <r>
    <m/>
    <s v="Mishap Investigation (Global Online) "/>
    <s v="A-493-0078"/>
    <n v="1228"/>
    <s v="Global Online"/>
    <d v="2024-02-26T00:00:00"/>
    <d v="2024-03-01T00:00:00"/>
    <m/>
    <d v="1899-12-30T13:00:00"/>
    <d v="1899-12-30T10:00:00"/>
    <d v="1899-12-30T21:00:00"/>
    <d v="1899-12-30T19:00:00"/>
    <d v="1899-12-30T08:00:00"/>
    <d v="1899-12-30T03:00:00"/>
    <s v="T. White"/>
    <m/>
    <e v="#REF!"/>
    <e v="#REF!"/>
    <m/>
    <m/>
    <m/>
    <n v="45"/>
    <n v="5"/>
    <n v="38"/>
    <n v="1"/>
    <n v="6"/>
    <n v="0"/>
    <n v="0"/>
    <x v="2"/>
    <n v="-43"/>
    <n v="0"/>
    <n v="0"/>
  </r>
  <r>
    <m/>
    <s v="Operational Risk Management Application &amp; Integration (Global Online)"/>
    <s v="A-570-0100"/>
    <s v="18B7"/>
    <s v="Global Online"/>
    <d v="2024-02-26T00:00:00"/>
    <d v="2024-03-01T00:00:00"/>
    <m/>
    <d v="1899-12-30T19:00:00"/>
    <d v="1899-12-30T16:00:00"/>
    <d v="1899-12-30T02:00:00"/>
    <d v="1899-12-30T00:00:00"/>
    <d v="1899-12-30T13:00:00"/>
    <d v="1899-12-30T08:00:00"/>
    <s v="BMC Sosaya"/>
    <m/>
    <e v="#REF!"/>
    <e v="#REF!"/>
    <m/>
    <m/>
    <m/>
    <n v="30"/>
    <n v="4"/>
    <n v="20"/>
    <n v="2"/>
    <n v="8"/>
    <n v="0"/>
    <n v="0"/>
    <x v="3"/>
    <n v="-43"/>
    <n v="0"/>
    <n v="0"/>
  </r>
  <r>
    <m/>
    <s v="Safety Programs Afloat (Global Online) "/>
    <s v="A-493-2098"/>
    <s v="09WW"/>
    <s v="Global Online"/>
    <d v="2024-02-26T00:00:00"/>
    <d v="2024-03-01T00:00:00"/>
    <m/>
    <d v="1899-12-30T19:00:00"/>
    <d v="1899-12-30T16:00:00"/>
    <d v="1899-12-30T02:00:00"/>
    <d v="1899-12-30T00:00:00"/>
    <d v="1899-12-30T13:00:00"/>
    <d v="1899-12-30T08:00:00"/>
    <s v="LSC Rouse "/>
    <m/>
    <e v="#REF!"/>
    <e v="#REF!"/>
    <m/>
    <m/>
    <m/>
    <n v="100"/>
    <n v="5"/>
    <n v="87"/>
    <n v="2"/>
    <n v="15"/>
    <n v="2"/>
    <n v="0"/>
    <x v="2"/>
    <n v="-43"/>
    <n v="0"/>
    <n v="0"/>
  </r>
  <r>
    <m/>
    <s v="Facility Response Team (FRT) Five Day"/>
    <s v="A-493-0012"/>
    <n v="3682"/>
    <s v="Mayport, FL"/>
    <d v="2024-02-26T00:00:00"/>
    <d v="2024-03-01T00:00:00"/>
    <d v="1899-12-30T08:00:00"/>
    <m/>
    <m/>
    <m/>
    <m/>
    <m/>
    <m/>
    <s v="ENV Contractor"/>
    <m/>
    <e v="#REF!"/>
    <e v="#REF!"/>
    <m/>
    <m/>
    <m/>
    <n v="40"/>
    <n v="5"/>
    <n v="28"/>
    <n v="10"/>
    <n v="3"/>
    <n v="1"/>
    <n v="0"/>
    <x v="4"/>
    <n v="-43"/>
    <n v="0"/>
    <n v="0"/>
  </r>
  <r>
    <m/>
    <s v="Respiratory Protection Program Management"/>
    <s v="A-493-0072"/>
    <s v="713U"/>
    <s v="Corpus Christi, TX"/>
    <d v="2024-02-26T00:00:00"/>
    <d v="2024-02-29T00:00:00"/>
    <d v="1899-12-30T08:00:00"/>
    <m/>
    <m/>
    <m/>
    <m/>
    <m/>
    <m/>
    <s v="W. Mitchell"/>
    <s v="CDR Schaal"/>
    <e v="#REF!"/>
    <e v="#REF!"/>
    <m/>
    <m/>
    <m/>
    <n v="30"/>
    <n v="4"/>
    <n v="27"/>
    <n v="0"/>
    <n v="4"/>
    <n v="0"/>
    <n v="0"/>
    <x v="3"/>
    <n v="-44"/>
    <n v="0"/>
    <n v="0"/>
  </r>
  <r>
    <m/>
    <s v="Fall Protection Program Manager Course (Global Online)"/>
    <s v="A-493-0099"/>
    <s v="12JW"/>
    <s v="Global Online"/>
    <d v="2024-02-27T00:00:00"/>
    <d v="2024-02-29T00:00:00"/>
    <m/>
    <d v="1899-12-30T19:00:00"/>
    <d v="1899-12-30T16:00:00"/>
    <d v="1899-12-30T03:00:00"/>
    <d v="1899-12-30T01:00:00"/>
    <d v="1899-12-30T14:00:00"/>
    <d v="1899-12-30T09:00:00"/>
    <s v="V. Kentish"/>
    <m/>
    <e v="#REF!"/>
    <e v="#REF!"/>
    <m/>
    <m/>
    <m/>
    <n v="45"/>
    <n v="3"/>
    <n v="23"/>
    <n v="0"/>
    <n v="1"/>
    <n v="0"/>
    <n v="0"/>
    <x v="1"/>
    <n v="-44"/>
    <n v="0"/>
    <n v="0"/>
  </r>
  <r>
    <m/>
    <s v="Asbestos Inspector Refresher"/>
    <s v="A-493-0015"/>
    <n v="3879"/>
    <s v="Global Online"/>
    <d v="2024-02-28T00:00:00"/>
    <d v="2024-02-28T00:00:00"/>
    <m/>
    <d v="1899-12-30T18:00:00"/>
    <d v="1899-12-30T15:00:00"/>
    <d v="1899-12-30T02:00:00"/>
    <d v="1899-12-30T00:00:00"/>
    <d v="1899-12-30T13:00:00"/>
    <d v="1899-12-30T08:00:00"/>
    <s v="B. Jung"/>
    <m/>
    <e v="#REF!"/>
    <e v="#REF!"/>
    <m/>
    <m/>
    <m/>
    <n v="30"/>
    <n v="1"/>
    <n v="29"/>
    <n v="0"/>
    <n v="2"/>
    <n v="0"/>
    <n v="0"/>
    <x v="3"/>
    <n v="-45"/>
    <n v="0"/>
    <n v="0"/>
  </r>
  <r>
    <m/>
    <s v="Oil Hazardous Substance Spill Response Tabletop Exercise (OHS TTX)"/>
    <s v="A-493-2501"/>
    <s v="05ZE"/>
    <s v="Pearl Harbor, HI"/>
    <d v="2024-02-28T00:00:00"/>
    <d v="2024-02-28T00:00:00"/>
    <d v="1899-12-30T08:00:00"/>
    <m/>
    <m/>
    <m/>
    <m/>
    <m/>
    <m/>
    <s v="ENV Contractor"/>
    <m/>
    <e v="#REF!"/>
    <e v="#REF!"/>
    <m/>
    <m/>
    <m/>
    <n v="30"/>
    <n v="1"/>
    <n v="7"/>
    <n v="0"/>
    <n v="3"/>
    <n v="4"/>
    <n v="0"/>
    <x v="4"/>
    <n v="-45"/>
    <n v="0"/>
    <n v="0"/>
  </r>
  <r>
    <m/>
    <s v="Asbestos Management Planner Refresher"/>
    <s v="A-493-0020"/>
    <n v="3888"/>
    <s v="Global Online"/>
    <d v="2024-02-29T00:00:00"/>
    <d v="2024-02-29T00:00:00"/>
    <m/>
    <d v="1899-12-30T18:00:00"/>
    <d v="1899-12-30T15:00:00"/>
    <d v="1899-12-30T02:00:00"/>
    <d v="1899-12-30T00:00:00"/>
    <d v="1899-12-30T13:00:00"/>
    <d v="1899-12-30T08:00:00"/>
    <s v="B. Jung"/>
    <m/>
    <e v="#REF!"/>
    <e v="#REF!"/>
    <m/>
    <m/>
    <m/>
    <n v="30"/>
    <n v="1"/>
    <n v="18"/>
    <n v="0"/>
    <n v="1"/>
    <n v="0"/>
    <n v="0"/>
    <x v="3"/>
    <n v="-44"/>
    <n v="0"/>
    <n v="0"/>
  </r>
  <r>
    <m/>
    <s v="Afloat Environmental Protection Coordinator (Global Online) "/>
    <s v="A-4J-0022"/>
    <s v="09ER"/>
    <s v="Global Online"/>
    <d v="2024-03-04T00:00:00"/>
    <d v="2024-03-08T00:00:00"/>
    <m/>
    <d v="1899-12-30T13:00:00"/>
    <d v="1899-12-30T10:00:00"/>
    <d v="1899-12-30T21:00:00"/>
    <d v="1899-12-30T19:00:00"/>
    <d v="1899-12-30T08:00:00"/>
    <d v="1899-12-30T03:00:00"/>
    <s v="K. Seo"/>
    <m/>
    <e v="#REF!"/>
    <e v="#REF!"/>
    <m/>
    <m/>
    <m/>
    <n v="45"/>
    <n v="5"/>
    <n v="16"/>
    <n v="0"/>
    <n v="5"/>
    <n v="1"/>
    <n v="0"/>
    <x v="4"/>
    <n v="-36"/>
    <n v="0"/>
    <n v="0"/>
  </r>
  <r>
    <m/>
    <s v="Competent Person for Fall Protection Course (Resident)"/>
    <s v="A-493-0103"/>
    <s v="12JY"/>
    <s v="Norfolk, VA Classroom 1"/>
    <d v="2024-03-04T00:00:00"/>
    <d v="2024-03-08T00:00:00"/>
    <d v="1899-12-30T08:00:00"/>
    <m/>
    <m/>
    <m/>
    <m/>
    <m/>
    <m/>
    <s v="SOH Contractor"/>
    <m/>
    <e v="#REF!"/>
    <e v="#REF!"/>
    <m/>
    <m/>
    <m/>
    <n v="25"/>
    <n v="5"/>
    <n v="20"/>
    <n v="0"/>
    <n v="6"/>
    <n v="0"/>
    <n v="0"/>
    <x v="1"/>
    <n v="-36"/>
    <n v="0"/>
    <n v="0"/>
  </r>
  <r>
    <m/>
    <s v="General Industry Safety Standards (Global Online) "/>
    <s v="A-493-0061"/>
    <s v="288E"/>
    <s v="Global Online"/>
    <d v="2024-03-04T00:00:00"/>
    <d v="2024-03-08T00:00:00"/>
    <m/>
    <d v="1899-12-30T08:00:00"/>
    <d v="1899-12-30T05:00:00"/>
    <d v="1899-12-30T16:00:00"/>
    <d v="1899-12-30T14:00:00"/>
    <d v="1899-12-30T03:00:00"/>
    <d v="1899-12-30T22:00:00"/>
    <s v="S. Griffin"/>
    <m/>
    <e v="#REF!"/>
    <e v="#REF!"/>
    <m/>
    <m/>
    <m/>
    <n v="45"/>
    <n v="5"/>
    <n v="30"/>
    <n v="0"/>
    <n v="9"/>
    <n v="1"/>
    <n v="0"/>
    <x v="1"/>
    <n v="-36"/>
    <n v="0"/>
    <n v="0"/>
  </r>
  <r>
    <m/>
    <s v="Hazardous Material Control and Management [HMC&amp;M] Technician (Global Online)"/>
    <s v="A-322-2604"/>
    <s v="10ZZ"/>
    <s v="Global Online"/>
    <d v="2024-03-04T00:00:00"/>
    <d v="2024-03-08T00:00:00"/>
    <m/>
    <d v="1899-12-30T13:00:00"/>
    <d v="1899-12-30T10:00:00"/>
    <d v="1899-12-30T21:00:00"/>
    <d v="1899-12-30T19:00:00"/>
    <d v="1899-12-30T08:00:00"/>
    <d v="1899-12-30T03:00:00"/>
    <s v="LSC Rouse "/>
    <m/>
    <e v="#REF!"/>
    <e v="#REF!"/>
    <m/>
    <m/>
    <m/>
    <n v="45"/>
    <n v="5"/>
    <n v="41"/>
    <n v="3"/>
    <n v="3"/>
    <n v="2"/>
    <n v="0"/>
    <x v="3"/>
    <n v="-36"/>
    <n v="0"/>
    <n v="0"/>
  </r>
  <r>
    <m/>
    <s v="Incident Command System 300 (ICS 300)"/>
    <s v="A-493-2300"/>
    <s v="993F"/>
    <s v="Pensacola, FL"/>
    <d v="2024-03-04T00:00:00"/>
    <d v="2024-03-05T00:00:00"/>
    <d v="1899-12-30T08:00:00"/>
    <m/>
    <m/>
    <m/>
    <m/>
    <m/>
    <m/>
    <s v="ENV Contractor"/>
    <m/>
    <e v="#REF!"/>
    <e v="#REF!"/>
    <m/>
    <m/>
    <m/>
    <n v="30"/>
    <n v="2"/>
    <m/>
    <m/>
    <m/>
    <m/>
    <m/>
    <x v="6"/>
    <n v="-39"/>
    <n v="1"/>
    <n v="0"/>
  </r>
  <r>
    <s v="Special-Do not Spread(Sea Bees)"/>
    <s v="Introduction to Naval Safety and Occupational Health (Global Online) "/>
    <s v="A-493-0550"/>
    <s v="09K5"/>
    <s v="Global Online"/>
    <d v="2024-03-04T00:00:00"/>
    <d v="2024-03-08T00:00:00"/>
    <m/>
    <d v="1899-12-30T08:00:00"/>
    <d v="1899-12-30T05:00:00"/>
    <d v="1899-12-30T16:00:00"/>
    <d v="1899-12-30T14:00:00"/>
    <d v="1899-12-30T03:00:00"/>
    <d v="1899-12-30T22:00:00"/>
    <s v="D. Rodriguez"/>
    <m/>
    <e v="#REF!"/>
    <e v="#REF!"/>
    <m/>
    <m/>
    <m/>
    <n v="45"/>
    <n v="4"/>
    <n v="17"/>
    <n v="0"/>
    <n v="9"/>
    <n v="0"/>
    <n v="0"/>
    <x v="2"/>
    <n v="-36"/>
    <n v="0"/>
    <n v="0"/>
  </r>
  <r>
    <m/>
    <s v="Hazardous Substance Incident Response Management (HSIRM) Refresher"/>
    <s v="A-493-0083"/>
    <s v="339E"/>
    <s v="Global Online"/>
    <d v="2024-03-05T00:00:00"/>
    <d v="2024-03-05T00:00:00"/>
    <m/>
    <d v="1899-12-30T08:00:00"/>
    <d v="1899-12-30T05:00:00"/>
    <d v="1899-12-30T16:00:00"/>
    <d v="1899-12-30T14:00:00"/>
    <d v="1899-12-30T03:00:00"/>
    <d v="1899-12-30T22:00:00"/>
    <s v="ENV Contractor"/>
    <m/>
    <e v="#REF!"/>
    <e v="#REF!"/>
    <m/>
    <m/>
    <m/>
    <n v="30"/>
    <n v="1"/>
    <n v="29"/>
    <n v="0"/>
    <n v="1"/>
    <n v="2"/>
    <n v="0"/>
    <x v="4"/>
    <n v="-39"/>
    <n v="0"/>
    <n v="0"/>
  </r>
  <r>
    <m/>
    <s v="Fall Protection Program Manager Course (Global Online)"/>
    <s v="A-493-0099"/>
    <s v="12JW"/>
    <s v="Global Online"/>
    <d v="2024-03-05T00:00:00"/>
    <d v="2024-03-07T00:00:00"/>
    <m/>
    <d v="1899-12-30T08:00:00"/>
    <d v="1899-12-30T05:00:00"/>
    <d v="1899-12-30T16:00:00"/>
    <d v="1899-12-30T14:00:00"/>
    <d v="1899-12-30T03:00:00"/>
    <d v="1899-12-30T22:00:00"/>
    <s v="V. Kentish"/>
    <m/>
    <e v="#REF!"/>
    <e v="#REF!"/>
    <m/>
    <m/>
    <m/>
    <n v="45"/>
    <n v="3"/>
    <n v="34"/>
    <n v="1"/>
    <n v="9"/>
    <n v="0"/>
    <n v="0"/>
    <x v="1"/>
    <n v="-37"/>
    <n v="0"/>
    <n v="0"/>
  </r>
  <r>
    <m/>
    <s v="Introduction to Hazardous Materials [Ashore] (Global Online) "/>
    <s v="A-493-0331"/>
    <s v="10UG"/>
    <s v="Global Online"/>
    <d v="2024-03-05T00:00:00"/>
    <d v="2024-03-07T00:00:00"/>
    <m/>
    <d v="1899-12-30T12:00:00"/>
    <d v="1899-12-30T09:00:00"/>
    <d v="1899-12-30T20:00:00"/>
    <d v="1899-12-30T18:00:00"/>
    <d v="1899-12-30T07:00:00"/>
    <d v="1899-12-30T02:00:00"/>
    <s v="W. Mitchell"/>
    <m/>
    <e v="#REF!"/>
    <e v="#REF!"/>
    <m/>
    <m/>
    <m/>
    <n v="40"/>
    <n v="3"/>
    <n v="30"/>
    <n v="0"/>
    <n v="12"/>
    <n v="0"/>
    <n v="0"/>
    <x v="3"/>
    <n v="-37"/>
    <n v="0"/>
    <n v="0"/>
  </r>
  <r>
    <m/>
    <s v="Incident Command System 400 (ICS 400)"/>
    <s v="A-493-0216"/>
    <s v="12X8"/>
    <s v="Pensacola, FL"/>
    <d v="2024-03-06T00:00:00"/>
    <d v="2024-03-06T00:00:00"/>
    <d v="1899-12-30T08:00:00"/>
    <m/>
    <m/>
    <m/>
    <m/>
    <m/>
    <m/>
    <s v="ENV Contractor"/>
    <m/>
    <e v="#REF!"/>
    <e v="#REF!"/>
    <m/>
    <m/>
    <m/>
    <n v="30"/>
    <n v="1"/>
    <m/>
    <m/>
    <n v="0"/>
    <m/>
    <m/>
    <x v="6"/>
    <n v="-38"/>
    <n v="1"/>
    <n v="0"/>
  </r>
  <r>
    <s v="Special-Do not Spread(USS GEORGE WASHINGTON (CVN 73)"/>
    <s v="Safety Programs Afloat (Resident)"/>
    <s v="A-493-2099"/>
    <s v="438G"/>
    <s v="Norfolk, VA"/>
    <d v="2024-03-11T00:00:00"/>
    <d v="2024-03-12T00:00:00"/>
    <m/>
    <m/>
    <m/>
    <m/>
    <m/>
    <m/>
    <m/>
    <s v="BMC Sosaya"/>
    <m/>
    <m/>
    <m/>
    <m/>
    <m/>
    <m/>
    <n v="0"/>
    <n v="2"/>
    <n v="28"/>
    <n v="0"/>
    <n v="0"/>
    <n v="0"/>
    <n v="0"/>
    <x v="2"/>
    <n v="-32"/>
    <n v="0"/>
    <n v="0"/>
  </r>
  <r>
    <m/>
    <s v="Aviation Safety Specialist (Global Online) "/>
    <s v="A-493-0665"/>
    <s v="10KW"/>
    <s v="Global Online"/>
    <d v="2024-03-11T00:00:00"/>
    <d v="2024-03-15T00:00:00"/>
    <m/>
    <d v="1899-12-30T08:00:00"/>
    <d v="1899-12-30T05:00:00"/>
    <d v="1899-12-30T15:00:00"/>
    <d v="1899-12-30T13:00:00"/>
    <d v="1899-12-30T02:00:00"/>
    <d v="1899-12-30T21:00:00"/>
    <s v="LSC Rouse "/>
    <m/>
    <e v="#REF!"/>
    <e v="#REF!"/>
    <m/>
    <m/>
    <m/>
    <n v="45"/>
    <n v="5"/>
    <n v="40"/>
    <n v="2"/>
    <n v="4"/>
    <n v="1"/>
    <n v="0"/>
    <x v="4"/>
    <n v="-29"/>
    <n v="0"/>
    <n v="0"/>
  </r>
  <r>
    <m/>
    <s v="Competent Person for Fall Protection Course (Resident)"/>
    <s v="A-493-0103"/>
    <s v="12JY"/>
    <s v="Norfolk, VA Classroom 1"/>
    <d v="2024-03-11T00:00:00"/>
    <d v="2024-03-15T00:00:00"/>
    <d v="1899-12-30T08:00:00"/>
    <m/>
    <m/>
    <m/>
    <m/>
    <m/>
    <m/>
    <s v="SOH Contractor"/>
    <m/>
    <e v="#REF!"/>
    <e v="#REF!"/>
    <m/>
    <m/>
    <m/>
    <n v="25"/>
    <n v="5"/>
    <n v="25"/>
    <n v="0"/>
    <n v="3"/>
    <n v="1"/>
    <n v="0"/>
    <x v="1"/>
    <n v="-29"/>
    <n v="0"/>
    <n v="0"/>
  </r>
  <r>
    <m/>
    <s v="Confined Space Safety"/>
    <s v="A-493-0030"/>
    <s v="286X"/>
    <s v="Sasebo, Japan"/>
    <d v="2024-03-11T00:00:00"/>
    <d v="2024-03-15T00:00:00"/>
    <d v="1899-12-30T08:00:00"/>
    <m/>
    <m/>
    <m/>
    <m/>
    <m/>
    <m/>
    <s v="IH Contractor"/>
    <m/>
    <e v="#REF!"/>
    <e v="#REF!"/>
    <m/>
    <m/>
    <m/>
    <n v="25"/>
    <n v="5"/>
    <n v="7"/>
    <n v="1"/>
    <n v="0"/>
    <n v="1"/>
    <n v="1"/>
    <x v="2"/>
    <n v="-29"/>
    <n v="0"/>
    <n v="0"/>
  </r>
  <r>
    <s v="Special-Do not Spread(Sea Bees)"/>
    <s v="Construction Safety Standards"/>
    <s v="A-493-0021"/>
    <s v="18BN"/>
    <s v="Gulfport, MS"/>
    <d v="2024-03-11T00:00:00"/>
    <d v="2024-03-15T00:00:00"/>
    <d v="1899-12-30T08:00:00"/>
    <m/>
    <m/>
    <m/>
    <m/>
    <m/>
    <m/>
    <s v="SOH Contractor"/>
    <m/>
    <e v="#REF!"/>
    <e v="#REF!"/>
    <m/>
    <m/>
    <m/>
    <n v="35"/>
    <n v="5"/>
    <n v="19"/>
    <n v="0"/>
    <n v="5"/>
    <n v="0"/>
    <n v="0"/>
    <x v="1"/>
    <n v="-29"/>
    <n v="0"/>
    <n v="0"/>
  </r>
  <r>
    <m/>
    <s v="Fire Protection and Life Safety"/>
    <s v="A-493-0075 "/>
    <s v="714U"/>
    <s v="Yokosuka, Japan"/>
    <d v="2024-03-11T00:00:00"/>
    <d v="2024-03-14T00:00:00"/>
    <d v="1899-12-30T08:00:00"/>
    <m/>
    <m/>
    <m/>
    <m/>
    <m/>
    <m/>
    <s v="SOH Contractor"/>
    <m/>
    <e v="#REF!"/>
    <e v="#REF!"/>
    <m/>
    <m/>
    <m/>
    <n v="30"/>
    <n v="4"/>
    <n v="23"/>
    <n v="0"/>
    <n v="4"/>
    <n v="0"/>
    <n v="10"/>
    <x v="1"/>
    <n v="-30"/>
    <n v="0"/>
    <n v="0"/>
  </r>
  <r>
    <m/>
    <s v="Mishap Investigation (Global Online) "/>
    <s v="A-493-0078"/>
    <n v="1228"/>
    <s v="Global Online"/>
    <d v="2024-03-11T00:00:00"/>
    <d v="2024-03-15T00:00:00"/>
    <m/>
    <d v="1899-12-30T08:00:00"/>
    <d v="1899-12-30T05:00:00"/>
    <d v="1899-12-30T15:00:00"/>
    <d v="1899-12-30T13:00:00"/>
    <d v="1899-12-30T02:00:00"/>
    <d v="1899-12-30T21:00:00"/>
    <s v="T. White"/>
    <m/>
    <e v="#REF!"/>
    <e v="#REF!"/>
    <m/>
    <m/>
    <m/>
    <n v="45"/>
    <n v="5"/>
    <n v="37"/>
    <n v="0"/>
    <n v="8"/>
    <n v="0"/>
    <n v="0"/>
    <x v="2"/>
    <n v="-29"/>
    <n v="0"/>
    <n v="0"/>
  </r>
  <r>
    <m/>
    <s v="Safety Programs Afloat (Global Online) "/>
    <s v="A-493-2098"/>
    <s v="09WW"/>
    <s v="Global Online"/>
    <d v="2024-03-11T00:00:00"/>
    <d v="2024-03-15T00:00:00"/>
    <m/>
    <d v="1899-12-30T13:00:00"/>
    <d v="1899-12-30T10:00:00"/>
    <d v="1899-12-30T20:00:00"/>
    <d v="1899-12-30T18:00:00"/>
    <d v="1899-12-30T07:00:00"/>
    <d v="1899-12-30T02:00:00"/>
    <s v="LSC Rouse "/>
    <m/>
    <e v="#REF!"/>
    <e v="#REF!"/>
    <m/>
    <m/>
    <m/>
    <n v="100"/>
    <n v="5"/>
    <n v="78"/>
    <n v="6"/>
    <n v="20"/>
    <n v="5"/>
    <n v="0"/>
    <x v="2"/>
    <n v="-29"/>
    <n v="0"/>
    <n v="0"/>
  </r>
  <r>
    <m/>
    <s v="Facility Response Team (FRT) Five Day"/>
    <s v="A-493-0012"/>
    <n v="3682"/>
    <s v="Kings Bay, GA"/>
    <d v="2024-03-11T00:00:00"/>
    <d v="2024-03-15T00:00:00"/>
    <d v="1899-12-30T08:00:00"/>
    <m/>
    <m/>
    <m/>
    <m/>
    <m/>
    <m/>
    <s v="ENV Contractor"/>
    <m/>
    <e v="#REF!"/>
    <e v="#REF!"/>
    <m/>
    <m/>
    <m/>
    <n v="40"/>
    <n v="5"/>
    <n v="32"/>
    <n v="0"/>
    <n v="4"/>
    <n v="18"/>
    <n v="0"/>
    <x v="4"/>
    <n v="-29"/>
    <n v="0"/>
    <n v="0"/>
  </r>
  <r>
    <m/>
    <s v="Respiratory Protection Program Management"/>
    <s v="A-493-0072"/>
    <s v="713U"/>
    <s v="Seal Beach, CA"/>
    <d v="2024-03-12T00:00:00"/>
    <d v="2024-03-15T00:00:00"/>
    <d v="1899-12-30T08:00:00"/>
    <m/>
    <m/>
    <m/>
    <m/>
    <m/>
    <m/>
    <s v="B. Jung"/>
    <s v="CDR Schaal"/>
    <e v="#REF!"/>
    <e v="#REF!"/>
    <m/>
    <m/>
    <m/>
    <n v="30"/>
    <n v="4"/>
    <n v="30"/>
    <n v="0"/>
    <n v="2"/>
    <n v="0"/>
    <n v="0"/>
    <x v="3"/>
    <n v="-29"/>
    <n v="0"/>
    <n v="0"/>
  </r>
  <r>
    <m/>
    <s v="Respiratory Protection Program Management"/>
    <s v="A-493-0072"/>
    <s v="713U"/>
    <s v="Sasebo, Japan"/>
    <d v="2024-03-12T00:00:00"/>
    <d v="2024-03-15T00:00:00"/>
    <d v="1899-12-30T08:00:00"/>
    <m/>
    <m/>
    <m/>
    <m/>
    <m/>
    <m/>
    <s v="W. Mitchell"/>
    <s v="A. Harris"/>
    <e v="#REF!"/>
    <e v="#REF!"/>
    <m/>
    <m/>
    <m/>
    <n v="30"/>
    <n v="4"/>
    <n v="13"/>
    <n v="0"/>
    <n v="4"/>
    <n v="0"/>
    <n v="0"/>
    <x v="3"/>
    <n v="-29"/>
    <n v="0"/>
    <n v="0"/>
  </r>
  <r>
    <m/>
    <s v="Incident Command System 300 (ICS 300)"/>
    <s v="A-493-2300"/>
    <s v="993F"/>
    <s v="Global Online"/>
    <d v="2024-03-18T00:00:00"/>
    <d v="2024-03-19T00:00:00"/>
    <m/>
    <d v="1899-12-30T08:00:00"/>
    <d v="1899-12-30T05:00:00"/>
    <d v="1899-12-30T16:00:00"/>
    <d v="1899-12-30T14:00:00"/>
    <d v="1899-12-30T03:00:00"/>
    <d v="1899-12-30T22:00:00"/>
    <s v="ENV Contractor"/>
    <m/>
    <e v="#REF!"/>
    <e v="#REF!"/>
    <m/>
    <m/>
    <m/>
    <n v="30"/>
    <n v="2"/>
    <n v="35"/>
    <n v="0"/>
    <n v="6"/>
    <n v="11"/>
    <n v="5"/>
    <x v="4"/>
    <n v="-25"/>
    <n v="0"/>
    <n v="0"/>
  </r>
  <r>
    <s v="Special for USMC"/>
    <s v="Facility Response Team (FRT) Five Day"/>
    <s v="A-493-0012"/>
    <n v="3682"/>
    <s v="Beaufort, SC"/>
    <d v="2024-03-18T00:00:00"/>
    <d v="2024-03-22T00:00:00"/>
    <d v="1902-03-10T00:00:00"/>
    <m/>
    <m/>
    <m/>
    <m/>
    <m/>
    <m/>
    <s v="ENV Contractor"/>
    <m/>
    <m/>
    <m/>
    <m/>
    <m/>
    <m/>
    <n v="40"/>
    <n v="5"/>
    <n v="31"/>
    <n v="0"/>
    <n v="0"/>
    <n v="2"/>
    <n v="0"/>
    <x v="4"/>
    <n v="-22"/>
    <n v="0"/>
    <n v="0"/>
  </r>
  <r>
    <m/>
    <s v="Competent Person for Fall Protection Course (Resident)"/>
    <s v="A-493-0103"/>
    <s v="12JY"/>
    <s v="Port Hueneme, CA"/>
    <d v="2024-03-18T00:00:00"/>
    <d v="2024-03-22T00:00:00"/>
    <d v="1899-12-30T08:00:00"/>
    <m/>
    <m/>
    <m/>
    <m/>
    <m/>
    <m/>
    <s v="SOH Contractor"/>
    <m/>
    <e v="#REF!"/>
    <e v="#REF!"/>
    <m/>
    <m/>
    <m/>
    <n v="25"/>
    <n v="5"/>
    <n v="13"/>
    <n v="0"/>
    <n v="9"/>
    <n v="0"/>
    <n v="0"/>
    <x v="1"/>
    <n v="-22"/>
    <n v="0"/>
    <n v="0"/>
  </r>
  <r>
    <s v="Location change"/>
    <s v="Industrial Noise"/>
    <s v="A-493-0092"/>
    <n v="5891"/>
    <s v="San Diego, CA"/>
    <d v="2024-03-18T00:00:00"/>
    <d v="2024-03-20T00:00:00"/>
    <d v="1899-12-30T08:00:00"/>
    <m/>
    <m/>
    <m/>
    <m/>
    <m/>
    <m/>
    <s v="B. Jung"/>
    <s v="CDR Schaal"/>
    <e v="#REF!"/>
    <e v="#REF!"/>
    <m/>
    <m/>
    <m/>
    <n v="25"/>
    <n v="3"/>
    <n v="12"/>
    <n v="0"/>
    <n v="2"/>
    <n v="0"/>
    <n v="0"/>
    <x v="7"/>
    <n v="-24"/>
    <n v="0"/>
    <n v="0"/>
  </r>
  <r>
    <m/>
    <s v="Operational Risk Management Application &amp; Integration (Global Online)"/>
    <s v="A-570-0100"/>
    <s v="18B7"/>
    <s v="Global Online"/>
    <d v="2024-03-18T00:00:00"/>
    <d v="2024-03-21T00:00:00"/>
    <m/>
    <d v="1899-12-30T13:00:00"/>
    <d v="1899-12-30T10:00:00"/>
    <d v="1899-12-30T20:00:00"/>
    <d v="1899-12-30T18:00:00"/>
    <d v="1899-12-30T07:00:00"/>
    <d v="1899-12-30T02:00:00"/>
    <s v="BMC Sosaya"/>
    <m/>
    <e v="#REF!"/>
    <e v="#REF!"/>
    <m/>
    <m/>
    <m/>
    <n v="30"/>
    <n v="4"/>
    <n v="26"/>
    <n v="0"/>
    <n v="7"/>
    <n v="0"/>
    <n v="0"/>
    <x v="3"/>
    <n v="-23"/>
    <n v="0"/>
    <n v="0"/>
  </r>
  <r>
    <m/>
    <s v="Facility Response Team (FRT) Five Day"/>
    <s v="A-493-0012"/>
    <n v="3682"/>
    <s v="Panama City, FL"/>
    <d v="2024-03-18T00:00:00"/>
    <d v="2024-03-22T00:00:00"/>
    <d v="1899-12-30T08:00:00"/>
    <m/>
    <m/>
    <m/>
    <m/>
    <m/>
    <m/>
    <s v="ENV Contractor"/>
    <m/>
    <e v="#REF!"/>
    <e v="#REF!"/>
    <m/>
    <m/>
    <m/>
    <n v="40"/>
    <n v="5"/>
    <n v="24"/>
    <n v="0"/>
    <n v="2"/>
    <n v="1"/>
    <n v="0"/>
    <x v="4"/>
    <n v="-22"/>
    <n v="0"/>
    <n v="0"/>
  </r>
  <r>
    <m/>
    <s v="Machinery and Machine Guarding Standards (Global Online) "/>
    <s v="A-493-0073"/>
    <s v="714S"/>
    <s v="Global Online"/>
    <d v="2024-03-19T00:00:00"/>
    <d v="2024-03-22T00:00:00"/>
    <m/>
    <d v="1899-12-30T08:00:00"/>
    <d v="1899-12-30T05:00:00"/>
    <d v="1899-12-30T15:00:00"/>
    <d v="1899-12-30T13:00:00"/>
    <d v="1899-12-30T02:00:00"/>
    <d v="1899-12-30T21:00:00"/>
    <s v="SOH Contractor"/>
    <m/>
    <e v="#REF!"/>
    <e v="#REF!"/>
    <m/>
    <m/>
    <m/>
    <n v="30"/>
    <n v="4"/>
    <n v="19"/>
    <n v="0"/>
    <n v="7"/>
    <n v="0"/>
    <n v="1"/>
    <x v="1"/>
    <n v="-22"/>
    <n v="0"/>
    <n v="0"/>
  </r>
  <r>
    <m/>
    <s v="Incident Command System 400 (ICS 400)"/>
    <s v="A-493-0216"/>
    <s v="12X8"/>
    <s v="Global Online"/>
    <d v="2024-03-20T00:00:00"/>
    <d v="2024-03-20T00:00:00"/>
    <m/>
    <d v="1899-12-30T08:00:00"/>
    <d v="1899-12-30T05:00:00"/>
    <d v="1899-12-30T15:00:00"/>
    <d v="1899-12-30T13:00:00"/>
    <d v="1899-12-30T02:00:00"/>
    <d v="1899-12-30T21:00:00"/>
    <s v="ENV Contractor"/>
    <m/>
    <m/>
    <m/>
    <m/>
    <m/>
    <m/>
    <n v="30"/>
    <n v="1"/>
    <n v="33"/>
    <n v="0"/>
    <n v="5"/>
    <n v="9"/>
    <n v="5"/>
    <x v="4"/>
    <n v="-24"/>
    <n v="0"/>
    <n v="0"/>
  </r>
  <r>
    <s v="Target Area: Sigonella, Italy"/>
    <s v="Hazardous Substance Incident Response Management (HSIRM) Refresher"/>
    <s v="A-493-0083"/>
    <s v="339E"/>
    <s v="Global Online"/>
    <d v="2024-03-21T00:00:00"/>
    <d v="2024-03-21T00:00:00"/>
    <m/>
    <d v="1900-10-26T03:00:00"/>
    <d v="1899-12-30T23:00:00"/>
    <d v="1899-12-30T09:00:00"/>
    <d v="1899-12-30T08:00:00"/>
    <d v="1899-12-30T20:00:00"/>
    <d v="1899-12-30T15:00:00"/>
    <s v="ENV Contractor"/>
    <m/>
    <e v="#REF!"/>
    <e v="#REF!"/>
    <m/>
    <m/>
    <m/>
    <n v="30"/>
    <n v="1"/>
    <m/>
    <m/>
    <m/>
    <m/>
    <m/>
    <x v="6"/>
    <n v="-23"/>
    <n v="1"/>
    <n v="0"/>
  </r>
  <r>
    <m/>
    <s v="Competent Person for Fall Protection Course (Resident)"/>
    <s v="A-493-0103"/>
    <s v="12JY"/>
    <s v="Lemoore, CA"/>
    <d v="2024-03-25T00:00:00"/>
    <d v="2024-03-29T00:00:00"/>
    <d v="1899-12-30T08:00:00"/>
    <m/>
    <m/>
    <m/>
    <m/>
    <m/>
    <m/>
    <s v="SOH Contractor"/>
    <m/>
    <e v="#REF!"/>
    <e v="#REF!"/>
    <m/>
    <m/>
    <m/>
    <n v="25"/>
    <n v="5"/>
    <n v="10"/>
    <n v="0"/>
    <n v="8"/>
    <n v="0"/>
    <n v="0"/>
    <x v="1"/>
    <n v="-15"/>
    <n v="0"/>
    <n v="0"/>
  </r>
  <r>
    <m/>
    <s v="General Industry Safety Standards (Global Online) "/>
    <s v="A-493-0061"/>
    <s v="288E"/>
    <s v="Global Online"/>
    <d v="2024-03-25T00:00:00"/>
    <d v="2024-03-29T00:00:00"/>
    <m/>
    <d v="1899-12-30T13:00:00"/>
    <d v="1899-12-30T10:00:00"/>
    <d v="1899-12-30T20:00:00"/>
    <d v="1899-12-30T18:00:00"/>
    <d v="1899-12-30T07:00:00"/>
    <d v="1899-12-30T02:00:00"/>
    <s v="S. Griffin"/>
    <m/>
    <e v="#REF!"/>
    <e v="#REF!"/>
    <m/>
    <m/>
    <m/>
    <n v="45"/>
    <n v="5"/>
    <n v="20"/>
    <n v="0"/>
    <n v="1"/>
    <n v="1"/>
    <n v="0"/>
    <x v="1"/>
    <n v="-15"/>
    <n v="0"/>
    <n v="0"/>
  </r>
  <r>
    <m/>
    <s v="Hazardous Material Control and Management [HMC&amp;M] Technician (Global Online)"/>
    <s v="A-322-2604"/>
    <s v="10ZZ"/>
    <s v="Global Online"/>
    <d v="2024-03-25T00:00:00"/>
    <d v="2024-03-29T00:00:00"/>
    <m/>
    <d v="1899-12-30T08:00:00"/>
    <d v="1899-12-30T05:00:00"/>
    <d v="1899-12-30T15:00:00"/>
    <d v="1899-12-30T13:00:00"/>
    <d v="1899-12-30T02:00:00"/>
    <d v="1899-12-30T21:00:00"/>
    <s v="LSC Rouse "/>
    <m/>
    <e v="#REF!"/>
    <e v="#REF!"/>
    <m/>
    <m/>
    <m/>
    <n v="45"/>
    <n v="5"/>
    <n v="42"/>
    <n v="2"/>
    <n v="6"/>
    <n v="2"/>
    <n v="0"/>
    <x v="3"/>
    <n v="-15"/>
    <n v="0"/>
    <n v="0"/>
  </r>
  <r>
    <m/>
    <s v="Introduction to Industrial Hygiene for Safety Professionals (Global Online) "/>
    <s v="A-493-0335"/>
    <s v="09ND"/>
    <s v="Global Online"/>
    <d v="2024-03-25T00:00:00"/>
    <d v="2024-03-28T00:00:00"/>
    <m/>
    <d v="1899-12-30T19:00:00"/>
    <d v="1899-12-30T16:00:00"/>
    <d v="1899-12-30T03:00:00"/>
    <d v="1899-12-30T01:00:00"/>
    <d v="1899-12-30T14:00:00"/>
    <d v="1899-12-30T09:00:00"/>
    <s v="K. Seo"/>
    <s v="W. Mitchell"/>
    <e v="#REF!"/>
    <e v="#REF!"/>
    <m/>
    <m/>
    <m/>
    <n v="30"/>
    <n v="4"/>
    <n v="26"/>
    <n v="0"/>
    <n v="4"/>
    <n v="0"/>
    <n v="0"/>
    <x v="3"/>
    <n v="-16"/>
    <n v="0"/>
    <n v="0"/>
  </r>
  <r>
    <m/>
    <s v="Introduction to Naval Safety and Occupational Health (Global Online) "/>
    <s v="A-493-0550"/>
    <s v="09K5"/>
    <s v="Global Online"/>
    <d v="2024-03-25T00:00:00"/>
    <d v="2024-03-29T00:00:00"/>
    <m/>
    <d v="1899-12-30T10:00:00"/>
    <d v="1899-12-30T07:00:00"/>
    <d v="1899-12-30T17:00:00"/>
    <d v="1899-12-30T15:00:00"/>
    <d v="1899-12-30T04:00:00"/>
    <d v="1899-12-30T23:00:00"/>
    <s v="D. Rodriguez"/>
    <m/>
    <e v="#REF!"/>
    <e v="#REF!"/>
    <m/>
    <m/>
    <m/>
    <n v="45"/>
    <n v="4"/>
    <n v="40"/>
    <n v="0"/>
    <n v="7"/>
    <n v="3"/>
    <n v="0"/>
    <x v="7"/>
    <n v="-15"/>
    <n v="0"/>
    <n v="0"/>
  </r>
  <r>
    <m/>
    <s v="Mishap Investigation (Global Online) "/>
    <s v="A-493-0078"/>
    <n v="1228"/>
    <s v="Global Online"/>
    <d v="2024-03-25T00:00:00"/>
    <d v="2024-03-29T00:00:00"/>
    <m/>
    <d v="1899-12-30T08:00:00"/>
    <d v="1899-12-30T05:00:00"/>
    <d v="1899-12-30T15:00:00"/>
    <d v="1899-12-30T13:00:00"/>
    <d v="1899-12-30T02:00:00"/>
    <d v="1899-12-30T21:00:00"/>
    <s v="T. White"/>
    <m/>
    <e v="#REF!"/>
    <e v="#REF!"/>
    <m/>
    <m/>
    <m/>
    <n v="45"/>
    <n v="5"/>
    <n v="22"/>
    <n v="0"/>
    <n v="1"/>
    <n v="0"/>
    <n v="0"/>
    <x v="2"/>
    <n v="-15"/>
    <n v="0"/>
    <n v="0"/>
  </r>
  <r>
    <m/>
    <s v="Navy Ergonomics Program (Global Online)"/>
    <s v="A-493-0085"/>
    <n v="3555"/>
    <s v="Global Online"/>
    <d v="2024-03-25T00:00:00"/>
    <d v="2024-03-28T00:00:00"/>
    <m/>
    <d v="1899-12-30T12:00:00"/>
    <d v="1899-12-30T09:00:00"/>
    <d v="1899-12-30T19:00:00"/>
    <d v="1899-12-30T17:00:00"/>
    <d v="1899-12-30T06:00:00"/>
    <d v="1899-12-30T01:00:00"/>
    <s v="B. Jung"/>
    <m/>
    <e v="#REF!"/>
    <e v="#REF!"/>
    <m/>
    <m/>
    <m/>
    <n v="30"/>
    <n v="4"/>
    <n v="24"/>
    <n v="0"/>
    <n v="3"/>
    <n v="0"/>
    <n v="0"/>
    <x v="3"/>
    <n v="-16"/>
    <n v="0"/>
    <n v="0"/>
  </r>
  <r>
    <m/>
    <s v="Safety Programs Afloat (Global Online) "/>
    <s v="A-493-2098"/>
    <s v="09WW"/>
    <s v="Global Online"/>
    <d v="2024-03-25T00:00:00"/>
    <d v="2024-03-29T00:00:00"/>
    <m/>
    <d v="1899-12-30T13:00:00"/>
    <d v="1899-12-30T10:00:00"/>
    <d v="1899-12-30T20:00:00"/>
    <d v="1899-12-30T18:00:00"/>
    <d v="1899-12-30T07:00:00"/>
    <d v="1899-12-30T02:00:00"/>
    <s v="LSC Rouse "/>
    <m/>
    <e v="#REF!"/>
    <e v="#REF!"/>
    <m/>
    <m/>
    <m/>
    <n v="100"/>
    <n v="5"/>
    <n v="92"/>
    <n v="4"/>
    <n v="10"/>
    <n v="1"/>
    <n v="0"/>
    <x v="7"/>
    <n v="-15"/>
    <n v="0"/>
    <n v="0"/>
  </r>
  <r>
    <m/>
    <s v="Fall Protection Program Manager Course (Global Online)"/>
    <s v="A-493-0099"/>
    <s v="12JW"/>
    <s v="Global Online"/>
    <d v="2024-03-26T00:00:00"/>
    <d v="2024-03-28T00:00:00"/>
    <m/>
    <d v="1899-12-30T13:00:00"/>
    <d v="1899-12-30T10:00:00"/>
    <d v="1899-12-30T20:00:00"/>
    <d v="1899-12-30T18:00:00"/>
    <d v="1899-12-30T07:00:00"/>
    <d v="1899-12-30T02:00:00"/>
    <s v="V. Kentish"/>
    <m/>
    <e v="#REF!"/>
    <e v="#REF!"/>
    <m/>
    <m/>
    <m/>
    <n v="45"/>
    <n v="3"/>
    <n v="40"/>
    <n v="1"/>
    <n v="2"/>
    <n v="0"/>
    <n v="0"/>
    <x v="1"/>
    <n v="-16"/>
    <n v="0"/>
    <n v="0"/>
  </r>
  <r>
    <s v="NAVSUP FLC  Sasebo Detachment, Japan"/>
    <s v="Facility Response Team (FRT) Three Day"/>
    <s v="A-493-0013"/>
    <n v="3683"/>
    <s v="Sasebo, Japan"/>
    <d v="2024-03-27T00:00:00"/>
    <d v="2024-03-29T00:00:00"/>
    <d v="1899-12-30T08:00:00"/>
    <m/>
    <m/>
    <m/>
    <m/>
    <m/>
    <m/>
    <s v="ENV Contractor"/>
    <m/>
    <e v="#REF!"/>
    <e v="#REF!"/>
    <m/>
    <m/>
    <m/>
    <n v="40"/>
    <n v="3"/>
    <n v="40"/>
    <n v="0"/>
    <n v="0"/>
    <n v="17"/>
    <n v="33"/>
    <x v="4"/>
    <n v="-15"/>
    <n v="0"/>
    <n v="0"/>
  </r>
  <r>
    <m/>
    <s v="Incident Command System 300 (ICS 300)"/>
    <s v="A-493-2300"/>
    <s v="993F"/>
    <s v="Panama City, FL"/>
    <d v="2024-04-01T00:00:00"/>
    <d v="2024-04-02T00:00:00"/>
    <d v="1899-12-30T08:00:00"/>
    <m/>
    <m/>
    <m/>
    <m/>
    <m/>
    <m/>
    <s v="ENV Contractor"/>
    <m/>
    <m/>
    <m/>
    <m/>
    <m/>
    <m/>
    <n v="30"/>
    <n v="2"/>
    <m/>
    <m/>
    <m/>
    <m/>
    <m/>
    <x v="6"/>
    <n v="-11"/>
    <n v="1"/>
    <n v="0"/>
  </r>
  <r>
    <s v="Special for USMC"/>
    <s v="Facility Response Team (FRT) Five Day"/>
    <s v="A-493-0012"/>
    <n v="3682"/>
    <s v="Iwakuni, Japan"/>
    <d v="2024-04-01T00:00:00"/>
    <d v="2024-04-05T00:00:00"/>
    <d v="1899-12-30T08:00:00"/>
    <m/>
    <m/>
    <m/>
    <m/>
    <m/>
    <m/>
    <s v="ENV Contractor"/>
    <m/>
    <e v="#REF!"/>
    <e v="#REF!"/>
    <m/>
    <m/>
    <m/>
    <n v="40"/>
    <n v="5"/>
    <n v="13"/>
    <n v="0"/>
    <n v="0"/>
    <n v="3"/>
    <n v="1"/>
    <x v="4"/>
    <n v="-8"/>
    <n v="0"/>
    <n v="0"/>
  </r>
  <r>
    <m/>
    <s v="Machinery and Machine Guarding Standards (Global Online) "/>
    <s v="A-493-0073"/>
    <s v="714S"/>
    <s v="Global Online"/>
    <d v="2024-04-01T00:00:00"/>
    <d v="2024-04-04T00:00:00"/>
    <m/>
    <d v="1899-12-30T08:00:00"/>
    <d v="1899-12-30T05:00:00"/>
    <d v="1899-12-30T16:00:00"/>
    <d v="1899-12-30T14:00:00"/>
    <d v="1899-12-30T03:00:00"/>
    <d v="1899-12-30T22:00:00"/>
    <s v="SOH Contractor"/>
    <m/>
    <e v="#REF!"/>
    <e v="#REF!"/>
    <m/>
    <m/>
    <m/>
    <n v="30"/>
    <n v="4"/>
    <n v="19"/>
    <n v="0"/>
    <n v="6"/>
    <n v="0"/>
    <n v="0"/>
    <x v="1"/>
    <n v="-9"/>
    <n v="0"/>
    <n v="0"/>
  </r>
  <r>
    <m/>
    <s v="Aviation Safety Specialist (Global Online) "/>
    <s v="A-493-0665"/>
    <s v="10KW"/>
    <s v="Global Online"/>
    <d v="2024-04-01T00:00:00"/>
    <d v="2024-04-05T00:00:00"/>
    <m/>
    <d v="1899-12-30T19:00:00"/>
    <d v="1899-12-30T16:00:00"/>
    <d v="1899-12-30T02:00:00"/>
    <d v="1899-12-30T00:00:00"/>
    <d v="1899-12-30T13:00:00"/>
    <d v="1899-12-30T08:00:00"/>
    <s v="LSC Rouse "/>
    <m/>
    <e v="#REF!"/>
    <e v="#REF!"/>
    <m/>
    <m/>
    <m/>
    <n v="45"/>
    <n v="5"/>
    <m/>
    <m/>
    <m/>
    <m/>
    <m/>
    <x v="6"/>
    <n v="-8"/>
    <n v="1"/>
    <n v="0"/>
  </r>
  <r>
    <m/>
    <s v="Competent Person for Fall Protection Course (Resident)"/>
    <s v="A-493-0103"/>
    <s v="12JY"/>
    <s v="Pax River, MD"/>
    <d v="2024-04-01T00:00:00"/>
    <d v="2024-04-05T00:00:00"/>
    <d v="1899-12-30T08:00:00"/>
    <m/>
    <m/>
    <m/>
    <m/>
    <m/>
    <m/>
    <s v="SOH Contractor"/>
    <m/>
    <e v="#REF!"/>
    <e v="#REF!"/>
    <m/>
    <m/>
    <m/>
    <n v="25"/>
    <n v="5"/>
    <n v="21"/>
    <n v="0"/>
    <n v="2"/>
    <n v="0"/>
    <n v="0"/>
    <x v="1"/>
    <n v="-8"/>
    <n v="0"/>
    <n v="0"/>
  </r>
  <r>
    <m/>
    <s v="General Industry Safety Standards (Global Online) "/>
    <s v="A-493-0061"/>
    <s v="288E"/>
    <s v="Global Online"/>
    <d v="2024-04-01T00:00:00"/>
    <d v="2024-04-05T00:00:00"/>
    <m/>
    <d v="1899-12-30T10:00:00"/>
    <d v="1899-12-30T07:00:00"/>
    <d v="1899-12-30T17:00:00"/>
    <d v="1899-12-30T15:00:00"/>
    <d v="1899-12-30T04:00:00"/>
    <d v="1899-12-30T23:00:00"/>
    <s v="S. Griffin"/>
    <m/>
    <e v="#REF!"/>
    <e v="#REF!"/>
    <m/>
    <m/>
    <m/>
    <n v="45"/>
    <n v="5"/>
    <n v="25"/>
    <n v="0"/>
    <n v="3"/>
    <n v="0"/>
    <n v="1"/>
    <x v="1"/>
    <n v="-8"/>
    <n v="0"/>
    <n v="0"/>
  </r>
  <r>
    <m/>
    <s v="Operational Risk Management Application &amp; Integration (Global Online)"/>
    <s v="A-570-0100"/>
    <s v="18B7"/>
    <s v="Global Online"/>
    <d v="2024-04-01T00:00:00"/>
    <d v="2024-04-04T00:00:00"/>
    <m/>
    <d v="1899-12-30T13:00:00"/>
    <d v="1899-12-30T10:00:00"/>
    <d v="1899-12-30T20:00:00"/>
    <d v="1899-12-30T18:00:00"/>
    <d v="1899-12-30T07:00:00"/>
    <d v="1899-12-30T02:00:00"/>
    <s v="BMC Sosaya"/>
    <m/>
    <e v="#REF!"/>
    <e v="#REF!"/>
    <m/>
    <m/>
    <m/>
    <n v="30"/>
    <n v="4"/>
    <m/>
    <m/>
    <m/>
    <m/>
    <m/>
    <x v="6"/>
    <n v="-9"/>
    <n v="1"/>
    <n v="0"/>
  </r>
  <r>
    <s v="Special for USMC"/>
    <s v="Respiratory Protection Program Management"/>
    <s v="A-493-0072"/>
    <s v="713U"/>
    <s v="Camp Lejeune, NC"/>
    <d v="2024-04-01T00:00:00"/>
    <d v="2024-04-04T00:00:00"/>
    <d v="1899-12-30T08:00:00"/>
    <m/>
    <m/>
    <m/>
    <m/>
    <m/>
    <m/>
    <s v="B. Jung"/>
    <s v="W. Mitchell"/>
    <e v="#REF!"/>
    <e v="#REF!"/>
    <m/>
    <m/>
    <m/>
    <n v="30"/>
    <n v="4"/>
    <m/>
    <m/>
    <m/>
    <m/>
    <m/>
    <x v="6"/>
    <n v="-9"/>
    <n v="1"/>
    <n v="0"/>
  </r>
  <r>
    <m/>
    <s v="Incident Command System 400 (ICS 400)"/>
    <s v="A-493-0216"/>
    <s v="12X8"/>
    <s v="Panama City, FL"/>
    <d v="2024-04-03T00:00:00"/>
    <d v="2024-04-03T00:00:00"/>
    <d v="1899-12-30T08:00:00"/>
    <m/>
    <m/>
    <m/>
    <m/>
    <m/>
    <m/>
    <s v="ENV Contractor"/>
    <m/>
    <m/>
    <m/>
    <m/>
    <m/>
    <m/>
    <n v="30"/>
    <n v="1"/>
    <m/>
    <m/>
    <m/>
    <m/>
    <m/>
    <x v="6"/>
    <n v="-10"/>
    <n v="1"/>
    <n v="0"/>
  </r>
  <r>
    <s v="Target Area: Souda Bay, Greece"/>
    <s v="Hazardous Substance Incident Response Management (HSIRM) Refresher"/>
    <s v="A-493-0083"/>
    <s v="339E"/>
    <s v="Global Online"/>
    <d v="2024-04-04T00:00:00"/>
    <d v="2024-04-04T00:00:00"/>
    <m/>
    <d v="1899-12-30T02:00:00"/>
    <d v="1899-12-30T23:00:00"/>
    <d v="1899-12-30T09:00:00"/>
    <d v="1899-12-30T08:00:00"/>
    <d v="1899-12-30T20:00:00"/>
    <d v="1899-12-30T15:00:00"/>
    <s v="ENV Contractor"/>
    <m/>
    <e v="#REF!"/>
    <e v="#REF!"/>
    <m/>
    <m/>
    <m/>
    <n v="30"/>
    <n v="1"/>
    <n v="29"/>
    <n v="0"/>
    <n v="2"/>
    <n v="1"/>
    <n v="2"/>
    <x v="4"/>
    <n v="-9"/>
    <n v="0"/>
    <n v="0"/>
  </r>
  <r>
    <m/>
    <s v="Competent Person for Fall Protection Course (Resident)"/>
    <s v="A-493-0103"/>
    <s v="12JY"/>
    <s v="Philadelphia, PA"/>
    <d v="2024-04-08T00:00:00"/>
    <d v="2024-04-12T00:00:00"/>
    <d v="1899-12-30T08:00:00"/>
    <m/>
    <m/>
    <m/>
    <m/>
    <m/>
    <m/>
    <s v="SOH Contractor"/>
    <m/>
    <e v="#REF!"/>
    <e v="#REF!"/>
    <m/>
    <m/>
    <m/>
    <n v="25"/>
    <n v="5"/>
    <m/>
    <m/>
    <m/>
    <m/>
    <m/>
    <x v="6"/>
    <n v="-1"/>
    <n v="1"/>
    <n v="0"/>
  </r>
  <r>
    <m/>
    <s v="Competent Person for Fall Protection Course (Resident)"/>
    <s v="A-493-0103"/>
    <s v="12JY"/>
    <s v="Whidbey Island, WA"/>
    <d v="2024-04-08T00:00:00"/>
    <d v="2024-04-12T00:00:00"/>
    <d v="1899-12-30T08:00:00"/>
    <m/>
    <m/>
    <m/>
    <m/>
    <m/>
    <m/>
    <s v="SOH Contractor"/>
    <m/>
    <e v="#REF!"/>
    <e v="#REF!"/>
    <m/>
    <m/>
    <m/>
    <n v="25"/>
    <n v="5"/>
    <m/>
    <m/>
    <m/>
    <m/>
    <m/>
    <x v="6"/>
    <n v="-1"/>
    <n v="1"/>
    <n v="0"/>
  </r>
  <r>
    <m/>
    <s v="Confined Space Safety"/>
    <s v="A-493-0030"/>
    <s v="286X"/>
    <s v="Indian Head, MD"/>
    <d v="2024-04-08T00:00:00"/>
    <d v="2024-04-12T00:00:00"/>
    <d v="1899-12-30T08:00:00"/>
    <m/>
    <m/>
    <m/>
    <m/>
    <m/>
    <m/>
    <s v="IH Contractor"/>
    <m/>
    <e v="#REF!"/>
    <e v="#REF!"/>
    <m/>
    <m/>
    <m/>
    <n v="25"/>
    <n v="5"/>
    <m/>
    <m/>
    <m/>
    <m/>
    <m/>
    <x v="6"/>
    <n v="-1"/>
    <n v="1"/>
    <n v="0"/>
  </r>
  <r>
    <m/>
    <s v="Hazardous Substance Incident Response Management (HSIRM)"/>
    <s v="A-493-0077"/>
    <s v="0381"/>
    <s v="Norfolk, VA Classroom 1"/>
    <d v="2024-04-08T00:00:00"/>
    <d v="2024-04-10T00:00:00"/>
    <d v="1899-12-30T08:00:00"/>
    <m/>
    <m/>
    <m/>
    <m/>
    <m/>
    <m/>
    <s v="ENV Contractor"/>
    <m/>
    <e v="#REF!"/>
    <e v="#REF!"/>
    <m/>
    <m/>
    <m/>
    <n v="25"/>
    <n v="3"/>
    <m/>
    <m/>
    <m/>
    <m/>
    <m/>
    <x v="6"/>
    <n v="-3"/>
    <n v="1"/>
    <n v="0"/>
  </r>
  <r>
    <m/>
    <s v="Hazardous Material Control and Management [HMC&amp;M] Technician (Global Online)"/>
    <s v="A-322-2604"/>
    <s v="10ZZ"/>
    <s v="Global Online"/>
    <d v="2024-04-08T00:00:00"/>
    <d v="2024-04-12T00:00:00"/>
    <m/>
    <d v="1899-12-30T13:00:00"/>
    <d v="1899-12-30T10:00:00"/>
    <d v="1899-12-30T20:00:00"/>
    <d v="1899-12-30T18:00:00"/>
    <d v="1899-12-30T07:00:00"/>
    <d v="1899-12-30T02:00:00"/>
    <s v="LSC Rouse "/>
    <m/>
    <e v="#REF!"/>
    <e v="#REF!"/>
    <m/>
    <m/>
    <m/>
    <n v="45"/>
    <n v="5"/>
    <m/>
    <m/>
    <m/>
    <m/>
    <m/>
    <x v="6"/>
    <n v="-1"/>
    <n v="1"/>
    <n v="0"/>
  </r>
  <r>
    <m/>
    <s v="Mishap Investigation (Global Online) "/>
    <s v="A-493-0078"/>
    <n v="1228"/>
    <s v="Global Online"/>
    <d v="2024-04-08T00:00:00"/>
    <d v="2024-04-12T00:00:00"/>
    <m/>
    <d v="1899-12-30T13:00:00"/>
    <d v="1899-12-30T10:00:00"/>
    <d v="1899-12-30T20:00:00"/>
    <d v="1899-12-30T18:00:00"/>
    <d v="1899-12-30T07:00:00"/>
    <d v="1899-12-30T02:00:00"/>
    <s v="T. White"/>
    <m/>
    <e v="#REF!"/>
    <e v="#REF!"/>
    <m/>
    <m/>
    <m/>
    <n v="45"/>
    <n v="5"/>
    <m/>
    <m/>
    <m/>
    <m/>
    <m/>
    <x v="6"/>
    <n v="-1"/>
    <n v="1"/>
    <n v="0"/>
  </r>
  <r>
    <m/>
    <s v="Navy Ergonomics Program (Global Online)"/>
    <s v="A-493-0085"/>
    <n v="3555"/>
    <s v="Global Online"/>
    <d v="2024-04-08T00:00:00"/>
    <d v="2024-04-11T00:00:00"/>
    <m/>
    <d v="1899-12-30T19:00:00"/>
    <d v="1899-12-30T16:00:00"/>
    <d v="1899-12-30T02:00:00"/>
    <d v="1899-12-30T00:00:00"/>
    <d v="1899-12-30T13:00:00"/>
    <d v="1899-12-30T08:00:00"/>
    <s v="B. Jung"/>
    <m/>
    <e v="#REF!"/>
    <e v="#REF!"/>
    <m/>
    <m/>
    <m/>
    <n v="30"/>
    <n v="4"/>
    <m/>
    <m/>
    <m/>
    <m/>
    <m/>
    <x v="6"/>
    <n v="-2"/>
    <n v="1"/>
    <n v="0"/>
  </r>
  <r>
    <m/>
    <s v="Introduction to Hazardous Materials [Ashore] (Global Online) "/>
    <s v="A-493-0331"/>
    <s v="10UG"/>
    <s v="Global Online"/>
    <d v="2024-04-09T00:00:00"/>
    <d v="2024-04-11T00:00:00"/>
    <m/>
    <d v="1899-12-30T12:00:00"/>
    <d v="1899-12-30T09:00:00"/>
    <d v="1899-12-30T19:00:00"/>
    <d v="1899-12-30T17:00:00"/>
    <d v="1899-12-30T06:00:00"/>
    <d v="1899-12-30T01:00:00"/>
    <s v="W. Mitchell"/>
    <m/>
    <e v="#REF!"/>
    <e v="#REF!"/>
    <m/>
    <m/>
    <m/>
    <n v="40"/>
    <n v="3"/>
    <m/>
    <m/>
    <m/>
    <m/>
    <m/>
    <x v="6"/>
    <n v="-2"/>
    <n v="1"/>
    <n v="0"/>
  </r>
  <r>
    <m/>
    <s v="Fall Protection Program Manager Course (Global Online)"/>
    <s v="A-493-0099"/>
    <s v="12JW"/>
    <s v="Global Online"/>
    <d v="2024-04-09T00:00:00"/>
    <d v="2024-04-11T00:00:00"/>
    <m/>
    <d v="1899-12-30T10:00:00"/>
    <d v="1899-12-30T07:00:00"/>
    <d v="1899-12-30T17:00:00"/>
    <d v="1899-12-30T15:00:00"/>
    <d v="1899-12-30T04:00:00"/>
    <d v="1899-12-30T23:00:00"/>
    <s v="V. Kentish"/>
    <m/>
    <e v="#REF!"/>
    <e v="#REF!"/>
    <m/>
    <m/>
    <m/>
    <n v="45"/>
    <n v="3"/>
    <m/>
    <m/>
    <m/>
    <m/>
    <m/>
    <x v="6"/>
    <n v="-2"/>
    <n v="1"/>
    <n v="0"/>
  </r>
  <r>
    <m/>
    <s v="Fire Protection and Life Safety"/>
    <s v="A-493-0075 "/>
    <s v="714U"/>
    <s v="Virginia Beach, VA "/>
    <d v="2024-04-09T00:00:00"/>
    <d v="2024-04-12T00:00:00"/>
    <d v="1899-12-30T08:00:00"/>
    <m/>
    <m/>
    <m/>
    <m/>
    <m/>
    <m/>
    <s v="SOH Contractor"/>
    <m/>
    <e v="#REF!"/>
    <e v="#REF!"/>
    <m/>
    <m/>
    <m/>
    <n v="30"/>
    <n v="4"/>
    <m/>
    <m/>
    <m/>
    <m/>
    <m/>
    <x v="6"/>
    <n v="-1"/>
    <n v="1"/>
    <n v="0"/>
  </r>
  <r>
    <m/>
    <s v="Hazardous Substance Incident Response Management (HSIRM) Refresher"/>
    <s v="A-493-0083"/>
    <s v="339E"/>
    <s v="Norfolk, VA Classroom 1"/>
    <d v="2024-04-11T00:00:00"/>
    <d v="2024-04-11T00:00:00"/>
    <d v="1899-12-30T08:00:00"/>
    <m/>
    <m/>
    <m/>
    <m/>
    <m/>
    <m/>
    <s v="ENV Contractor"/>
    <m/>
    <e v="#REF!"/>
    <e v="#REF!"/>
    <m/>
    <m/>
    <m/>
    <n v="30"/>
    <n v="1"/>
    <m/>
    <m/>
    <m/>
    <m/>
    <m/>
    <x v="6"/>
    <n v="-2"/>
    <n v="1"/>
    <n v="0"/>
  </r>
  <r>
    <m/>
    <s v="Facility Response Team (FRT) Five Day"/>
    <s v="A-493-0012"/>
    <n v="3682"/>
    <s v="Souda Bay, Greece"/>
    <d v="2024-04-15T00:00:00"/>
    <d v="2024-04-19T00:00:00"/>
    <d v="1899-12-30T08:00:00"/>
    <m/>
    <m/>
    <m/>
    <m/>
    <m/>
    <m/>
    <s v="ENV Contractor"/>
    <m/>
    <e v="#REF!"/>
    <e v="#REF!"/>
    <m/>
    <m/>
    <m/>
    <n v="40"/>
    <n v="5"/>
    <m/>
    <m/>
    <m/>
    <m/>
    <m/>
    <x v="6"/>
    <n v="6"/>
    <n v="1"/>
    <n v="0"/>
  </r>
  <r>
    <m/>
    <s v="Afloat Environmental Protection Coordinator (Global Online) "/>
    <s v="A-4J-0022"/>
    <s v="09ER"/>
    <s v="Global Online"/>
    <d v="2024-04-15T00:00:00"/>
    <d v="2024-04-19T00:00:00"/>
    <m/>
    <d v="1899-12-30T13:00:00"/>
    <d v="1899-12-30T10:00:00"/>
    <d v="1899-12-30T20:00:00"/>
    <d v="1899-12-30T18:00:00"/>
    <d v="1899-12-30T07:00:00"/>
    <d v="1899-12-30T02:00:00"/>
    <s v="K. Seo"/>
    <m/>
    <e v="#REF!"/>
    <e v="#REF!"/>
    <m/>
    <m/>
    <m/>
    <n v="45"/>
    <n v="5"/>
    <m/>
    <m/>
    <m/>
    <m/>
    <m/>
    <x v="6"/>
    <n v="6"/>
    <n v="1"/>
    <n v="0"/>
  </r>
  <r>
    <s v="All Hands @0900"/>
    <s v="Command Function"/>
    <s v="NA"/>
    <s v="NA"/>
    <s v="Norfolk, VA Classroom 1"/>
    <d v="2024-04-15T00:00:00"/>
    <d v="2024-04-15T00:00:00"/>
    <d v="1899-12-30T09:00:00"/>
    <m/>
    <m/>
    <m/>
    <m/>
    <m/>
    <m/>
    <m/>
    <m/>
    <e v="#REF!"/>
    <e v="#REF!"/>
    <n v="0"/>
    <n v="0"/>
    <n v="0"/>
    <n v="0"/>
    <n v="0"/>
    <n v="0"/>
    <n v="0"/>
    <n v="0"/>
    <n v="0"/>
    <n v="0"/>
    <x v="5"/>
    <n v="2"/>
    <n v="0"/>
    <n v="0"/>
  </r>
  <r>
    <m/>
    <s v="Professional Development Symposium"/>
    <s v="PDS"/>
    <s v="PDS"/>
    <m/>
    <d v="2024-04-15T00:00:00"/>
    <d v="2024-04-26T00:00:00"/>
    <d v="1899-12-30T00:00:00"/>
    <d v="1899-12-30T00:00:00"/>
    <d v="1899-12-30T00:00:00"/>
    <d v="1899-12-30T00:00:00"/>
    <d v="1899-12-30T00:00:00"/>
    <d v="1899-12-30T00:00:00"/>
    <d v="1899-12-30T00:00:00"/>
    <m/>
    <m/>
    <e v="#REF!"/>
    <e v="#REF!"/>
    <n v="0"/>
    <n v="0"/>
    <n v="0"/>
    <n v="0"/>
    <n v="0"/>
    <n v="0"/>
    <n v="0"/>
    <n v="0"/>
    <n v="0"/>
    <n v="0"/>
    <x v="5"/>
    <n v="13"/>
    <n v="0"/>
    <n v="0"/>
  </r>
  <r>
    <m/>
    <s v="Hazardous Substance Incident Response Management (HSIRM) Refresher"/>
    <s v="A-493-0083"/>
    <s v="339E"/>
    <s v="Global Online"/>
    <d v="2024-04-15T00:00:00"/>
    <d v="2024-04-15T00:00:00"/>
    <m/>
    <d v="1899-12-30T14:00:00"/>
    <d v="1899-12-30T11:00:00"/>
    <d v="1899-12-30T21:00:00"/>
    <d v="1899-12-30T19:00:00"/>
    <d v="1899-12-30T08:00:00"/>
    <d v="1899-12-30T03:00:00"/>
    <s v="ENV Contractor"/>
    <m/>
    <e v="#REF!"/>
    <e v="#REF!"/>
    <m/>
    <m/>
    <m/>
    <n v="30"/>
    <n v="1"/>
    <m/>
    <m/>
    <m/>
    <m/>
    <m/>
    <x v="6"/>
    <n v="2"/>
    <n v="1"/>
    <n v="0"/>
  </r>
  <r>
    <m/>
    <s v="Facility Response Team (FRT) Three Day"/>
    <s v="A-493-0013"/>
    <n v="3683"/>
    <s v="Pensacola, FL"/>
    <d v="2024-04-16T00:00:00"/>
    <d v="2024-04-18T00:00:00"/>
    <d v="1899-12-30T08:00:00"/>
    <m/>
    <m/>
    <m/>
    <m/>
    <m/>
    <m/>
    <s v="ENV Contractor"/>
    <m/>
    <e v="#REF!"/>
    <e v="#REF!"/>
    <m/>
    <m/>
    <m/>
    <n v="40"/>
    <n v="3"/>
    <m/>
    <m/>
    <m/>
    <m/>
    <m/>
    <x v="6"/>
    <n v="5"/>
    <n v="1"/>
    <n v="1"/>
  </r>
  <r>
    <m/>
    <s v="Incident Command System 300 (ICS 300) Refresher"/>
    <s v="A-493-2301"/>
    <s v="05ZD"/>
    <s v="Bangor, WA"/>
    <d v="2024-04-17T00:00:00"/>
    <d v="2024-04-17T00:00:00"/>
    <d v="1899-12-30T08:00:00"/>
    <m/>
    <m/>
    <m/>
    <m/>
    <m/>
    <m/>
    <s v="ENV Contractor"/>
    <m/>
    <e v="#REF!"/>
    <e v="#REF!"/>
    <m/>
    <m/>
    <m/>
    <n v="30"/>
    <n v="1"/>
    <m/>
    <m/>
    <m/>
    <m/>
    <m/>
    <x v="6"/>
    <n v="4"/>
    <n v="1"/>
    <n v="1"/>
  </r>
  <r>
    <m/>
    <s v="Incident Command System 400 (ICS 400)"/>
    <s v="A-493-0216"/>
    <s v="12X8"/>
    <s v="Bangor, WA"/>
    <d v="2024-04-18T00:00:00"/>
    <d v="2024-04-18T00:00:00"/>
    <d v="1899-12-30T08:00:00"/>
    <m/>
    <m/>
    <m/>
    <m/>
    <m/>
    <m/>
    <s v="ENV Contractor"/>
    <m/>
    <e v="#REF!"/>
    <e v="#REF!"/>
    <m/>
    <m/>
    <m/>
    <n v="30"/>
    <n v="1"/>
    <m/>
    <m/>
    <m/>
    <m/>
    <m/>
    <x v="6"/>
    <n v="5"/>
    <n v="1"/>
    <n v="1"/>
  </r>
  <r>
    <m/>
    <s v="Oil Hazardous Substance Spill Response Tabletop Exercise (OHS TTX)"/>
    <s v="A-493-2501"/>
    <s v="05ZE"/>
    <s v="Bangor, WA"/>
    <d v="2024-04-19T00:00:00"/>
    <d v="2024-04-19T00:00:00"/>
    <d v="1899-12-30T08:00:00"/>
    <m/>
    <m/>
    <m/>
    <m/>
    <m/>
    <m/>
    <s v="ENV Contractor"/>
    <m/>
    <e v="#REF!"/>
    <e v="#REF!"/>
    <m/>
    <m/>
    <m/>
    <n v="30"/>
    <n v="1"/>
    <m/>
    <m/>
    <m/>
    <m/>
    <m/>
    <x v="6"/>
    <n v="6"/>
    <n v="1"/>
    <n v="1"/>
  </r>
  <r>
    <s v="Special for USMC"/>
    <s v="Facility Response Team (FRT) Five Day"/>
    <s v="A-493-0012"/>
    <n v="3682"/>
    <s v="Cherry Point, NC"/>
    <d v="2024-04-22T00:00:00"/>
    <d v="2024-04-26T00:00:00"/>
    <d v="1899-12-30T08:00:00"/>
    <m/>
    <m/>
    <m/>
    <m/>
    <m/>
    <m/>
    <s v="ENV Contractor"/>
    <m/>
    <m/>
    <m/>
    <m/>
    <m/>
    <m/>
    <n v="40"/>
    <n v="5"/>
    <m/>
    <m/>
    <m/>
    <m/>
    <m/>
    <x v="6"/>
    <n v="13"/>
    <n v="1"/>
    <n v="1"/>
  </r>
  <r>
    <m/>
    <s v="Facility Response Team (FRT) Five Day"/>
    <s v="A-493-0012"/>
    <n v="3682"/>
    <s v="Rota, Spain"/>
    <d v="2024-04-22T00:00:00"/>
    <d v="2024-04-26T00:00:00"/>
    <d v="1899-12-30T08:00:00"/>
    <m/>
    <m/>
    <m/>
    <m/>
    <m/>
    <m/>
    <s v="ENV Contractor"/>
    <m/>
    <e v="#REF!"/>
    <e v="#REF!"/>
    <m/>
    <m/>
    <m/>
    <n v="40"/>
    <n v="5"/>
    <m/>
    <m/>
    <m/>
    <m/>
    <m/>
    <x v="6"/>
    <n v="13"/>
    <n v="1"/>
    <n v="1"/>
  </r>
  <r>
    <m/>
    <s v="Confined Space Safety"/>
    <s v="A-493-0030"/>
    <s v="286X"/>
    <s v="Bremerton, WA"/>
    <d v="2024-04-22T00:00:00"/>
    <d v="2024-04-26T00:00:00"/>
    <d v="1899-12-30T08:00:00"/>
    <m/>
    <m/>
    <m/>
    <m/>
    <m/>
    <m/>
    <s v="IH Contractor"/>
    <m/>
    <e v="#REF!"/>
    <e v="#REF!"/>
    <m/>
    <m/>
    <m/>
    <n v="25"/>
    <n v="5"/>
    <m/>
    <m/>
    <m/>
    <m/>
    <m/>
    <x v="6"/>
    <n v="13"/>
    <n v="1"/>
    <n v="1"/>
  </r>
  <r>
    <s v="Special-Do not Spread(Sea Bees)"/>
    <s v="Construction Safety Standards"/>
    <s v="A-493-0021"/>
    <s v="18BN"/>
    <s v="Port Hueneme, CA"/>
    <d v="2024-04-22T00:00:00"/>
    <d v="2024-04-26T00:00:00"/>
    <d v="1899-12-30T08:00:00"/>
    <m/>
    <m/>
    <m/>
    <m/>
    <m/>
    <m/>
    <s v="SOH Contractor"/>
    <m/>
    <e v="#REF!"/>
    <e v="#REF!"/>
    <m/>
    <m/>
    <m/>
    <n v="35"/>
    <n v="5"/>
    <m/>
    <m/>
    <m/>
    <m/>
    <m/>
    <x v="6"/>
    <n v="13"/>
    <n v="1"/>
    <n v="1"/>
  </r>
  <r>
    <m/>
    <s v="Machinery and Machine Guarding Standards (Global Online) "/>
    <s v="A-493-0073"/>
    <s v="714S"/>
    <s v="Global Online"/>
    <d v="2024-04-23T00:00:00"/>
    <d v="2024-04-26T00:00:00"/>
    <m/>
    <d v="1899-12-30T13:00:00"/>
    <d v="1899-12-30T10:00:00"/>
    <d v="1899-12-30T20:00:00"/>
    <d v="1899-12-30T18:00:00"/>
    <d v="1899-12-30T07:00:00"/>
    <d v="1899-12-30T02:00:00"/>
    <s v="SOH Contractor"/>
    <m/>
    <e v="#REF!"/>
    <e v="#REF!"/>
    <m/>
    <m/>
    <m/>
    <n v="30"/>
    <n v="4"/>
    <m/>
    <m/>
    <m/>
    <m/>
    <m/>
    <x v="6"/>
    <n v="13"/>
    <n v="1"/>
    <n v="1"/>
  </r>
  <r>
    <m/>
    <s v="Introduction to Industrial Hygiene for Safety Professionals (Global Online) "/>
    <s v="A-493-0335"/>
    <s v="09ND"/>
    <s v="Global Online"/>
    <d v="2024-04-29T00:00:00"/>
    <d v="2024-05-02T00:00:00"/>
    <m/>
    <d v="1899-12-30T12:00:00"/>
    <d v="1899-12-30T09:00:00"/>
    <d v="1899-12-30T19:00:00"/>
    <d v="1899-12-30T17:00:00"/>
    <d v="1899-12-30T06:00:00"/>
    <d v="1899-12-30T01:00:00"/>
    <s v="W. Mitchell"/>
    <m/>
    <e v="#REF!"/>
    <e v="#REF!"/>
    <m/>
    <m/>
    <m/>
    <n v="30"/>
    <n v="4"/>
    <m/>
    <m/>
    <m/>
    <m/>
    <m/>
    <x v="6"/>
    <n v="19"/>
    <n v="1"/>
    <n v="1"/>
  </r>
  <r>
    <m/>
    <s v="Competent Person for Fall Protection Course (Resident)"/>
    <s v="A-493-0103"/>
    <s v="12JY"/>
    <s v="Bremerton, WA"/>
    <d v="2024-04-29T00:00:00"/>
    <d v="2024-05-03T00:00:00"/>
    <d v="1899-12-30T08:00:00"/>
    <m/>
    <m/>
    <m/>
    <m/>
    <m/>
    <m/>
    <s v="SOH Contractor"/>
    <m/>
    <e v="#REF!"/>
    <e v="#REF!"/>
    <m/>
    <m/>
    <m/>
    <n v="25"/>
    <n v="5"/>
    <m/>
    <m/>
    <m/>
    <m/>
    <m/>
    <x v="6"/>
    <n v="20"/>
    <n v="1"/>
    <n v="1"/>
  </r>
  <r>
    <s v="USMC"/>
    <s v="Competent Person for Fall Protection Course (Resident)"/>
    <s v="A-493-0103"/>
    <s v="12JY"/>
    <s v="Iwakuni, Japan"/>
    <d v="2024-04-29T00:00:00"/>
    <d v="2024-05-03T00:00:00"/>
    <d v="1899-12-30T08:00:00"/>
    <m/>
    <m/>
    <m/>
    <m/>
    <m/>
    <m/>
    <s v="SOH Contractor"/>
    <m/>
    <e v="#REF!"/>
    <e v="#REF!"/>
    <m/>
    <m/>
    <m/>
    <n v="25"/>
    <n v="5"/>
    <m/>
    <m/>
    <m/>
    <m/>
    <m/>
    <x v="6"/>
    <n v="20"/>
    <n v="1"/>
    <n v="1"/>
  </r>
  <r>
    <m/>
    <s v="General Industry Safety Standards (Global Online) "/>
    <s v="A-493-0061"/>
    <s v="288E"/>
    <s v="Global Online"/>
    <d v="2024-04-29T00:00:00"/>
    <d v="2024-05-03T00:00:00"/>
    <m/>
    <d v="1899-12-30T07:00:00"/>
    <d v="1899-12-30T04:00:00"/>
    <d v="1899-12-30T14:00:00"/>
    <d v="1899-12-30T12:00:00"/>
    <d v="1899-12-30T01:00:00"/>
    <d v="1899-12-30T20:00:00"/>
    <s v="S. Griffin"/>
    <m/>
    <e v="#REF!"/>
    <e v="#REF!"/>
    <m/>
    <m/>
    <m/>
    <n v="45"/>
    <n v="5"/>
    <m/>
    <m/>
    <m/>
    <m/>
    <m/>
    <x v="6"/>
    <n v="20"/>
    <n v="1"/>
    <n v="1"/>
  </r>
  <r>
    <m/>
    <s v="Hazardous Material Control and Management [HMC&amp;M] Technician (Global Online)"/>
    <s v="A-322-2604"/>
    <s v="10ZZ"/>
    <s v="Global Online"/>
    <d v="2024-04-29T00:00:00"/>
    <d v="2024-05-03T00:00:00"/>
    <m/>
    <d v="1899-12-30T08:00:00"/>
    <d v="1899-12-30T05:00:00"/>
    <d v="1899-12-30T15:00:00"/>
    <d v="1899-12-30T13:00:00"/>
    <d v="1899-12-30T02:00:00"/>
    <d v="1899-12-30T21:00:00"/>
    <s v="LSC Rouse "/>
    <m/>
    <e v="#REF!"/>
    <e v="#REF!"/>
    <m/>
    <m/>
    <m/>
    <n v="45"/>
    <n v="5"/>
    <m/>
    <m/>
    <m/>
    <m/>
    <m/>
    <x v="6"/>
    <n v="20"/>
    <n v="1"/>
    <n v="1"/>
  </r>
  <r>
    <m/>
    <s v="Respiratory Protection Program Management"/>
    <s v="A-493-0072"/>
    <s v="713U"/>
    <s v="Norfolk, VA Classroom 1"/>
    <d v="2024-04-29T00:00:00"/>
    <d v="2024-05-02T00:00:00"/>
    <d v="1899-12-30T08:00:00"/>
    <m/>
    <m/>
    <m/>
    <m/>
    <m/>
    <m/>
    <s v="B. Jung"/>
    <s v="K. Seo"/>
    <e v="#REF!"/>
    <e v="#REF!"/>
    <m/>
    <m/>
    <m/>
    <n v="30"/>
    <n v="4"/>
    <m/>
    <m/>
    <m/>
    <m/>
    <m/>
    <x v="6"/>
    <n v="19"/>
    <n v="1"/>
    <n v="1"/>
  </r>
  <r>
    <m/>
    <s v="Safety Programs Afloat (Global Online) "/>
    <s v="A-493-2098"/>
    <s v="09WW"/>
    <s v="Global Online"/>
    <d v="2024-04-29T00:00:00"/>
    <d v="2024-05-03T00:00:00"/>
    <m/>
    <d v="1899-12-30T13:00:00"/>
    <d v="1899-12-30T10:00:00"/>
    <d v="1899-12-30T20:00:00"/>
    <d v="1899-12-30T18:00:00"/>
    <d v="1899-12-30T07:00:00"/>
    <d v="1899-12-30T02:00:00"/>
    <s v="LSC Rouse "/>
    <m/>
    <e v="#REF!"/>
    <e v="#REF!"/>
    <m/>
    <m/>
    <m/>
    <n v="100"/>
    <n v="5"/>
    <m/>
    <m/>
    <m/>
    <m/>
    <m/>
    <x v="6"/>
    <n v="20"/>
    <n v="1"/>
    <n v="1"/>
  </r>
  <r>
    <m/>
    <s v="Fall Protection Program Manager Course (Global Online)"/>
    <s v="A-493-0099"/>
    <s v="12JW"/>
    <s v="Global Online"/>
    <d v="2024-04-30T00:00:00"/>
    <d v="2024-05-02T00:00:00"/>
    <m/>
    <d v="1899-12-30T10:00:00"/>
    <d v="1899-12-30T07:00:00"/>
    <d v="1899-12-30T17:00:00"/>
    <d v="1899-12-30T15:00:00"/>
    <d v="1899-12-30T04:00:00"/>
    <d v="1899-12-30T23:00:00"/>
    <s v="V. Kentish"/>
    <m/>
    <e v="#REF!"/>
    <e v="#REF!"/>
    <m/>
    <m/>
    <m/>
    <n v="45"/>
    <n v="3"/>
    <m/>
    <m/>
    <m/>
    <m/>
    <m/>
    <x v="6"/>
    <n v="19"/>
    <n v="1"/>
    <n v="1"/>
  </r>
  <r>
    <s v="NAVSUP FLC Yokosuka – Hachinohe Detachment"/>
    <s v="Facility Response Team (FRT) Three Day"/>
    <s v="A-493-0013"/>
    <n v="3683"/>
    <s v="Hachinohe, Japan"/>
    <d v="2024-05-01T00:00:00"/>
    <d v="2024-05-03T00:00:00"/>
    <d v="1899-12-30T08:00:00"/>
    <m/>
    <m/>
    <m/>
    <m/>
    <m/>
    <m/>
    <s v="ENV Contractor"/>
    <m/>
    <e v="#REF!"/>
    <e v="#REF!"/>
    <m/>
    <m/>
    <m/>
    <n v="40"/>
    <n v="3"/>
    <m/>
    <m/>
    <m/>
    <m/>
    <m/>
    <x v="6"/>
    <n v="20"/>
    <n v="1"/>
    <n v="1"/>
  </r>
  <r>
    <m/>
    <s v="Facility Response Team (FRT) Five Day"/>
    <s v="A-493-0012"/>
    <n v="3682"/>
    <s v="Bremerton, WA"/>
    <d v="2024-05-06T00:00:00"/>
    <d v="2024-05-10T00:00:00"/>
    <d v="1899-12-30T08:00:00"/>
    <m/>
    <m/>
    <m/>
    <m/>
    <m/>
    <m/>
    <s v="ENV Contractor"/>
    <m/>
    <e v="#REF!"/>
    <e v="#REF!"/>
    <m/>
    <m/>
    <m/>
    <n v="40"/>
    <n v="5"/>
    <m/>
    <m/>
    <m/>
    <m/>
    <m/>
    <x v="6"/>
    <n v="27"/>
    <n v="1"/>
    <n v="1"/>
  </r>
  <r>
    <m/>
    <s v="Facility Response Team (FRT) Five Day"/>
    <s v="A-493-0012"/>
    <n v="3682"/>
    <s v="Yokosuka, Japan"/>
    <d v="2024-05-06T00:00:00"/>
    <d v="2024-05-10T00:00:00"/>
    <d v="1899-12-30T08:00:00"/>
    <m/>
    <m/>
    <m/>
    <m/>
    <m/>
    <m/>
    <s v="ENV Contractor"/>
    <m/>
    <e v="#REF!"/>
    <e v="#REF!"/>
    <m/>
    <m/>
    <m/>
    <n v="40"/>
    <n v="5"/>
    <m/>
    <m/>
    <m/>
    <m/>
    <m/>
    <x v="6"/>
    <n v="27"/>
    <n v="1"/>
    <n v="1"/>
  </r>
  <r>
    <m/>
    <s v="Aviation Safety Specialist (Global Online) "/>
    <s v="A-493-0665"/>
    <s v="10KW"/>
    <s v="Global Online"/>
    <d v="2024-05-06T00:00:00"/>
    <d v="2024-05-10T00:00:00"/>
    <m/>
    <d v="1899-12-30T13:00:00"/>
    <d v="1899-12-30T10:00:00"/>
    <d v="1899-12-30T20:00:00"/>
    <d v="1899-12-30T18:00:00"/>
    <d v="1899-12-30T07:00:00"/>
    <d v="1899-12-30T02:00:00"/>
    <s v="LSC Rouse "/>
    <m/>
    <e v="#REF!"/>
    <e v="#REF!"/>
    <m/>
    <m/>
    <m/>
    <n v="45"/>
    <n v="5"/>
    <m/>
    <m/>
    <m/>
    <m/>
    <m/>
    <x v="6"/>
    <n v="27"/>
    <n v="1"/>
    <n v="1"/>
  </r>
  <r>
    <m/>
    <s v="Competent Person for Fall Protection Course (Resident)"/>
    <s v="A-493-0103"/>
    <s v="12JY"/>
    <s v="Everett, WA"/>
    <d v="2024-05-06T00:00:00"/>
    <d v="2024-05-10T00:00:00"/>
    <d v="1899-12-30T08:00:00"/>
    <m/>
    <m/>
    <m/>
    <m/>
    <m/>
    <m/>
    <s v="SOH Contractor"/>
    <m/>
    <e v="#REF!"/>
    <e v="#REF!"/>
    <m/>
    <m/>
    <m/>
    <n v="25"/>
    <n v="5"/>
    <m/>
    <m/>
    <m/>
    <m/>
    <m/>
    <x v="6"/>
    <n v="27"/>
    <n v="1"/>
    <n v="1"/>
  </r>
  <r>
    <m/>
    <s v="Competent Person for Fall Protection Course (Resident)"/>
    <s v="A-493-0103"/>
    <s v="12JY"/>
    <s v="Yokosuka, Japan"/>
    <d v="2024-05-06T00:00:00"/>
    <d v="2024-05-10T00:00:00"/>
    <d v="1899-12-30T08:00:00"/>
    <m/>
    <m/>
    <m/>
    <m/>
    <m/>
    <m/>
    <s v="SOH Contractor"/>
    <m/>
    <e v="#REF!"/>
    <e v="#REF!"/>
    <m/>
    <m/>
    <m/>
    <n v="25"/>
    <n v="5"/>
    <m/>
    <m/>
    <m/>
    <m/>
    <m/>
    <x v="6"/>
    <n v="27"/>
    <n v="1"/>
    <n v="1"/>
  </r>
  <r>
    <m/>
    <s v="Confined Space Safety"/>
    <s v="A-493-0030"/>
    <s v="286X"/>
    <s v="Global Online"/>
    <d v="2024-05-06T00:00:00"/>
    <d v="2024-05-10T00:00:00"/>
    <m/>
    <d v="1899-12-30T08:00:00"/>
    <d v="1899-12-30T05:00:00"/>
    <d v="1899-12-30T15:00:00"/>
    <d v="1899-12-30T13:00:00"/>
    <d v="1899-12-30T02:00:00"/>
    <d v="1899-12-30T21:00:00"/>
    <s v="IH Contractor"/>
    <s v="W. Mitchell"/>
    <e v="#REF!"/>
    <e v="#REF!"/>
    <m/>
    <m/>
    <m/>
    <n v="25"/>
    <n v="5"/>
    <m/>
    <m/>
    <m/>
    <m/>
    <m/>
    <x v="6"/>
    <n v="27"/>
    <n v="1"/>
    <n v="1"/>
  </r>
  <r>
    <m/>
    <s v="General Industry Safety Standards (Global Online) "/>
    <s v="A-493-0061"/>
    <s v="288E"/>
    <s v="Global Online"/>
    <d v="2024-05-06T00:00:00"/>
    <d v="2024-05-10T00:00:00"/>
    <m/>
    <d v="1899-12-30T13:00:00"/>
    <d v="1899-12-30T10:00:00"/>
    <d v="1899-12-30T20:00:00"/>
    <d v="1899-12-30T18:00:00"/>
    <d v="1899-12-30T07:00:00"/>
    <d v="1899-12-30T02:00:00"/>
    <s v="S. Griffin"/>
    <m/>
    <e v="#REF!"/>
    <e v="#REF!"/>
    <m/>
    <m/>
    <m/>
    <n v="45"/>
    <n v="5"/>
    <m/>
    <m/>
    <m/>
    <m/>
    <m/>
    <x v="6"/>
    <n v="27"/>
    <n v="1"/>
    <n v="1"/>
  </r>
  <r>
    <m/>
    <s v="Introduction to Naval Safety and Occupational Health (Global Online) "/>
    <s v="A-493-0550"/>
    <s v="09K5"/>
    <s v="Global Online"/>
    <d v="2024-05-06T00:00:00"/>
    <d v="2024-05-10T00:00:00"/>
    <m/>
    <d v="1899-12-30T08:00:00"/>
    <d v="1899-12-30T05:00:00"/>
    <d v="1899-12-30T15:00:00"/>
    <d v="1899-12-30T13:00:00"/>
    <d v="1899-12-30T02:00:00"/>
    <d v="1899-12-30T21:00:00"/>
    <s v="D. Rodriguez"/>
    <m/>
    <e v="#REF!"/>
    <e v="#REF!"/>
    <m/>
    <m/>
    <m/>
    <n v="45"/>
    <n v="4"/>
    <m/>
    <m/>
    <m/>
    <m/>
    <m/>
    <x v="6"/>
    <n v="27"/>
    <n v="1"/>
    <n v="1"/>
  </r>
  <r>
    <m/>
    <s v="Mishap Investigation (Global Online) "/>
    <s v="A-493-0078"/>
    <n v="1228"/>
    <s v="Global Online"/>
    <d v="2024-05-06T00:00:00"/>
    <d v="2024-05-10T00:00:00"/>
    <m/>
    <d v="1899-12-30T10:00:00"/>
    <d v="1899-12-30T07:00:00"/>
    <d v="1899-12-30T17:00:00"/>
    <d v="1899-12-30T15:00:00"/>
    <d v="1899-12-30T04:00:00"/>
    <d v="1899-12-30T23:00:00"/>
    <s v="T. White"/>
    <m/>
    <e v="#REF!"/>
    <e v="#REF!"/>
    <m/>
    <m/>
    <m/>
    <n v="45"/>
    <n v="5"/>
    <m/>
    <m/>
    <m/>
    <m/>
    <m/>
    <x v="6"/>
    <n v="27"/>
    <n v="1"/>
    <n v="1"/>
  </r>
  <r>
    <m/>
    <s v="Operational Risk Management Application &amp; Integration (Global Online)"/>
    <s v="A-570-0100"/>
    <s v="18B7"/>
    <s v="Global Online"/>
    <d v="2024-05-06T00:00:00"/>
    <d v="2024-05-09T00:00:00"/>
    <m/>
    <d v="1899-12-30T13:00:00"/>
    <d v="1899-12-30T10:00:00"/>
    <d v="1899-12-30T20:00:00"/>
    <d v="1899-12-30T18:00:00"/>
    <d v="1899-12-30T07:00:00"/>
    <d v="1899-12-30T02:00:00"/>
    <s v="BMC Sosaya"/>
    <m/>
    <e v="#REF!"/>
    <e v="#REF!"/>
    <m/>
    <m/>
    <m/>
    <n v="30"/>
    <n v="4"/>
    <m/>
    <m/>
    <m/>
    <m/>
    <m/>
    <x v="6"/>
    <n v="26"/>
    <n v="1"/>
    <n v="1"/>
  </r>
  <r>
    <m/>
    <s v="Hazardous Substance Incident Response Management (HSIRM) Refresher"/>
    <s v="A-493-0083"/>
    <s v="339E"/>
    <s v="Global Online"/>
    <d v="2024-05-06T00:00:00"/>
    <d v="2024-05-06T00:00:00"/>
    <m/>
    <d v="1899-12-30T11:00:00"/>
    <d v="1899-12-30T08:00:00"/>
    <d v="1899-12-30T18:00:00"/>
    <d v="1899-12-30T16:00:00"/>
    <d v="1899-12-30T05:00:00"/>
    <d v="1899-12-30T00:00:00"/>
    <s v="ENV Contractor"/>
    <m/>
    <e v="#REF!"/>
    <e v="#REF!"/>
    <m/>
    <m/>
    <m/>
    <n v="30"/>
    <n v="1"/>
    <m/>
    <m/>
    <m/>
    <m/>
    <m/>
    <x v="6"/>
    <n v="23"/>
    <n v="1"/>
    <n v="1"/>
  </r>
  <r>
    <s v="USAF Special Convening do not spread quotas"/>
    <s v="Tank Managers "/>
    <s v="A-493-2017"/>
    <s v="12x3"/>
    <s v="Ownings Mills, MD"/>
    <d v="2024-05-06T00:00:00"/>
    <d v="2024-05-10T00:00:00"/>
    <d v="1899-12-30T08:00:00"/>
    <m/>
    <m/>
    <m/>
    <m/>
    <m/>
    <m/>
    <s v="ENV Contractor"/>
    <m/>
    <m/>
    <m/>
    <m/>
    <m/>
    <m/>
    <n v="25"/>
    <n v="2"/>
    <m/>
    <m/>
    <m/>
    <m/>
    <m/>
    <x v="6"/>
    <n v="27"/>
    <n v="1"/>
    <n v="1"/>
  </r>
  <r>
    <m/>
    <s v="Introduction to Hazardous Materials [Ashore] (Global Online) "/>
    <s v="A-493-0331"/>
    <s v="10UG"/>
    <s v="Global Online"/>
    <d v="2024-05-07T00:00:00"/>
    <d v="2024-05-09T00:00:00"/>
    <m/>
    <d v="1899-12-30T12:00:00"/>
    <d v="1899-12-30T09:00:00"/>
    <d v="1899-12-30T19:00:00"/>
    <d v="1899-12-30T17:00:00"/>
    <d v="1899-12-30T06:00:00"/>
    <d v="1899-12-30T01:00:00"/>
    <s v="B. Jung"/>
    <m/>
    <e v="#REF!"/>
    <e v="#REF!"/>
    <m/>
    <m/>
    <m/>
    <n v="40"/>
    <n v="3"/>
    <m/>
    <m/>
    <m/>
    <m/>
    <m/>
    <x v="6"/>
    <n v="26"/>
    <n v="1"/>
    <n v="1"/>
  </r>
  <r>
    <s v="NAVSUP FLC Yokosuka – Hakozaki Detachment"/>
    <s v="Facility Response Team (FRT) Three Day"/>
    <s v="A-493-0013"/>
    <n v="3683"/>
    <s v="Hakozaki, Japan"/>
    <d v="2024-05-13T00:00:00"/>
    <d v="2024-05-15T00:00:00"/>
    <d v="1899-12-30T08:00:00"/>
    <m/>
    <m/>
    <m/>
    <m/>
    <m/>
    <m/>
    <s v="ENV Contractor"/>
    <m/>
    <e v="#REF!"/>
    <e v="#REF!"/>
    <m/>
    <m/>
    <m/>
    <n v="40"/>
    <n v="3"/>
    <m/>
    <m/>
    <m/>
    <m/>
    <m/>
    <x v="6"/>
    <n v="32"/>
    <n v="1"/>
    <n v="1"/>
  </r>
  <r>
    <m/>
    <s v="Construction Safety Standards"/>
    <s v="A-493-0021"/>
    <s v="18BN"/>
    <s v="Great Lakes, IL"/>
    <d v="2024-05-13T00:00:00"/>
    <d v="2024-05-17T00:00:00"/>
    <d v="1899-12-30T08:00:00"/>
    <m/>
    <m/>
    <m/>
    <m/>
    <m/>
    <m/>
    <s v="SOH Contractor"/>
    <m/>
    <e v="#REF!"/>
    <e v="#REF!"/>
    <m/>
    <m/>
    <m/>
    <n v="35"/>
    <n v="5"/>
    <m/>
    <m/>
    <m/>
    <m/>
    <m/>
    <x v="6"/>
    <n v="34"/>
    <n v="1"/>
    <n v="1"/>
  </r>
  <r>
    <m/>
    <s v="Fire Protection and Life Safety"/>
    <s v="A-493-0075 "/>
    <s v="714U"/>
    <s v="Coronado, CA"/>
    <d v="2024-05-13T00:00:00"/>
    <d v="2024-05-16T00:00:00"/>
    <d v="1899-12-30T08:00:00"/>
    <m/>
    <m/>
    <m/>
    <m/>
    <m/>
    <m/>
    <s v="SOH Contractor"/>
    <m/>
    <e v="#REF!"/>
    <e v="#REF!"/>
    <m/>
    <m/>
    <m/>
    <n v="30"/>
    <n v="4"/>
    <m/>
    <m/>
    <m/>
    <m/>
    <m/>
    <x v="6"/>
    <n v="33"/>
    <n v="1"/>
    <n v="1"/>
  </r>
  <r>
    <m/>
    <s v="Hazardous Material Control and Management [HMC&amp;M] Technician (Global Online)"/>
    <s v="A-322-2604"/>
    <s v="10ZZ"/>
    <s v="Global Online"/>
    <d v="2024-05-13T00:00:00"/>
    <d v="2024-05-17T00:00:00"/>
    <m/>
    <d v="1899-12-30T08:00:00"/>
    <d v="1899-12-30T05:00:00"/>
    <d v="1899-12-30T15:00:00"/>
    <d v="1899-12-30T13:00:00"/>
    <d v="1899-12-30T02:00:00"/>
    <d v="1899-12-30T21:00:00"/>
    <s v="LSC Rouse "/>
    <m/>
    <e v="#REF!"/>
    <e v="#REF!"/>
    <m/>
    <m/>
    <m/>
    <n v="45"/>
    <n v="5"/>
    <m/>
    <m/>
    <m/>
    <m/>
    <m/>
    <x v="6"/>
    <n v="34"/>
    <n v="1"/>
    <n v="1"/>
  </r>
  <r>
    <m/>
    <s v="Respiratory Protection Program Management"/>
    <s v="A-493-0072"/>
    <s v="713U"/>
    <s v="Atsugi, Japan"/>
    <d v="2024-05-13T00:00:00"/>
    <d v="2024-05-16T00:00:00"/>
    <d v="1899-12-30T08:00:00"/>
    <m/>
    <m/>
    <m/>
    <m/>
    <m/>
    <m/>
    <s v="K. Seo"/>
    <s v="A. Harris"/>
    <e v="#REF!"/>
    <e v="#REF!"/>
    <m/>
    <m/>
    <m/>
    <n v="30"/>
    <n v="4"/>
    <m/>
    <m/>
    <m/>
    <m/>
    <m/>
    <x v="6"/>
    <n v="33"/>
    <n v="1"/>
    <n v="1"/>
  </r>
  <r>
    <m/>
    <s v="Safety Programs Afloat (Global Online) "/>
    <s v="A-493-2098"/>
    <s v="09WW"/>
    <s v="Global Online"/>
    <d v="2024-05-13T00:00:00"/>
    <d v="2024-05-17T00:00:00"/>
    <m/>
    <d v="1899-12-30T08:00:00"/>
    <d v="1899-12-30T05:00:00"/>
    <d v="1899-12-30T15:00:00"/>
    <d v="1899-12-30T13:00:00"/>
    <d v="1899-12-30T02:00:00"/>
    <d v="1899-12-30T21:00:00"/>
    <s v="LSC Rouse "/>
    <m/>
    <e v="#REF!"/>
    <e v="#REF!"/>
    <m/>
    <m/>
    <m/>
    <n v="100"/>
    <n v="5"/>
    <m/>
    <m/>
    <m/>
    <m/>
    <m/>
    <x v="6"/>
    <n v="34"/>
    <n v="1"/>
    <n v="1"/>
  </r>
  <r>
    <m/>
    <s v="Submarine Safety Officer (Global Online) "/>
    <s v="F-4J-0023"/>
    <s v="11A2"/>
    <s v="Global Online"/>
    <d v="2024-05-13T00:00:00"/>
    <d v="2024-05-17T00:00:00"/>
    <m/>
    <d v="1899-12-30T13:00:00"/>
    <d v="1899-12-30T10:00:00"/>
    <d v="1899-12-30T20:00:00"/>
    <d v="1899-12-30T18:00:00"/>
    <d v="1899-12-30T07:00:00"/>
    <d v="1899-12-30T02:00:00"/>
    <s v="LCDR Overton"/>
    <s v="LTJG Andrew"/>
    <e v="#REF!"/>
    <e v="#REF!"/>
    <m/>
    <m/>
    <m/>
    <n v="25"/>
    <n v="2"/>
    <m/>
    <m/>
    <m/>
    <m/>
    <m/>
    <x v="6"/>
    <n v="34"/>
    <n v="1"/>
    <n v="1"/>
  </r>
  <r>
    <m/>
    <s v="Fall Protection Program Manager Course (Global Online)"/>
    <s v="A-493-0099"/>
    <s v="12JW"/>
    <s v="Global Online"/>
    <d v="2024-05-14T00:00:00"/>
    <d v="2024-05-16T00:00:00"/>
    <m/>
    <d v="1899-12-30T07:00:00"/>
    <d v="1899-12-30T04:00:00"/>
    <d v="1899-12-30T14:00:00"/>
    <d v="1899-12-30T12:00:00"/>
    <d v="1899-12-30T01:00:00"/>
    <d v="1899-12-30T20:00:00"/>
    <s v="V. Kentish"/>
    <m/>
    <e v="#REF!"/>
    <e v="#REF!"/>
    <m/>
    <m/>
    <m/>
    <n v="45"/>
    <n v="3"/>
    <m/>
    <m/>
    <m/>
    <m/>
    <m/>
    <x v="6"/>
    <n v="33"/>
    <n v="1"/>
    <n v="1"/>
  </r>
  <r>
    <s v="NAVSUP FLC Yokosuka – Tsurumi Detachment"/>
    <s v="Facility Response Team (FRT) Three Day"/>
    <s v="A-493-0013"/>
    <n v="3683"/>
    <s v="Tsurumi, Japan"/>
    <d v="2024-05-16T00:00:00"/>
    <d v="2024-05-20T00:00:00"/>
    <d v="1899-12-30T08:00:00"/>
    <m/>
    <m/>
    <m/>
    <m/>
    <m/>
    <m/>
    <s v="ENV Contractor"/>
    <m/>
    <e v="#REF!"/>
    <e v="#REF!"/>
    <m/>
    <m/>
    <m/>
    <n v="40"/>
    <n v="3"/>
    <m/>
    <m/>
    <m/>
    <m/>
    <m/>
    <x v="6"/>
    <n v="37"/>
    <n v="1"/>
    <n v="1"/>
  </r>
  <r>
    <m/>
    <s v="Facility Response Team (FRT) Five Day"/>
    <s v="A-493-0012"/>
    <n v="3682"/>
    <s v="Portsmouth, VA"/>
    <d v="2024-05-20T00:00:00"/>
    <d v="2024-05-24T00:00:00"/>
    <d v="1899-12-30T08:00:00"/>
    <m/>
    <m/>
    <m/>
    <m/>
    <m/>
    <m/>
    <s v="ENV Contractor"/>
    <m/>
    <e v="#REF!"/>
    <e v="#REF!"/>
    <m/>
    <m/>
    <m/>
    <n v="40"/>
    <n v="5"/>
    <m/>
    <m/>
    <m/>
    <m/>
    <m/>
    <x v="6"/>
    <n v="41"/>
    <n v="1"/>
    <n v="1"/>
  </r>
  <r>
    <m/>
    <s v="Hazardous Substance Incident Response Management (HSIRM)"/>
    <s v="A-493-0077"/>
    <s v="0381"/>
    <s v="Chinhae, Korea"/>
    <d v="2024-05-20T00:00:00"/>
    <d v="2024-05-22T00:00:00"/>
    <d v="1899-12-30T08:00:00"/>
    <m/>
    <m/>
    <m/>
    <m/>
    <m/>
    <m/>
    <s v="ENV Contractor"/>
    <m/>
    <e v="#REF!"/>
    <e v="#REF!"/>
    <m/>
    <m/>
    <m/>
    <n v="25"/>
    <n v="3"/>
    <m/>
    <m/>
    <m/>
    <m/>
    <m/>
    <x v="6"/>
    <n v="39"/>
    <n v="1"/>
    <n v="1"/>
  </r>
  <r>
    <m/>
    <s v="Respiratory Protection Program Management"/>
    <s v="A-493-0072"/>
    <s v="713U"/>
    <s v="Rota, Spain"/>
    <d v="2024-05-20T00:00:00"/>
    <d v="2024-05-23T00:00:00"/>
    <d v="1899-12-30T08:00:00"/>
    <m/>
    <m/>
    <m/>
    <m/>
    <m/>
    <m/>
    <s v="W. Mitchell"/>
    <s v="A. Harris"/>
    <e v="#REF!"/>
    <e v="#REF!"/>
    <m/>
    <m/>
    <m/>
    <n v="30"/>
    <n v="4"/>
    <m/>
    <m/>
    <m/>
    <m/>
    <m/>
    <x v="6"/>
    <n v="40"/>
    <n v="1"/>
    <n v="1"/>
  </r>
  <r>
    <m/>
    <s v="Afloat Environmental Protection Coordinator (Global Online) "/>
    <s v="A-4J-0022"/>
    <s v="09ER"/>
    <s v="Global Online"/>
    <d v="2024-05-20T00:00:00"/>
    <d v="2024-05-24T00:00:00"/>
    <m/>
    <d v="1899-12-30T13:00:00"/>
    <d v="1899-12-30T10:00:00"/>
    <d v="1899-12-30T20:00:00"/>
    <d v="1899-12-30T18:00:00"/>
    <d v="1899-12-30T07:00:00"/>
    <d v="1899-12-30T02:00:00"/>
    <s v="BMC Sosaya"/>
    <m/>
    <e v="#REF!"/>
    <e v="#REF!"/>
    <m/>
    <m/>
    <m/>
    <n v="45"/>
    <n v="5"/>
    <m/>
    <m/>
    <m/>
    <m/>
    <m/>
    <x v="6"/>
    <n v="41"/>
    <n v="1"/>
    <n v="1"/>
  </r>
  <r>
    <m/>
    <s v="Confined Space Safety"/>
    <s v="A-493-0030"/>
    <s v="286X"/>
    <s v="Portsmouth, NH"/>
    <d v="2024-05-20T00:00:00"/>
    <d v="2024-05-24T00:00:00"/>
    <d v="1899-12-30T08:00:00"/>
    <m/>
    <m/>
    <m/>
    <m/>
    <m/>
    <m/>
    <s v="IH Contractor"/>
    <m/>
    <e v="#REF!"/>
    <e v="#REF!"/>
    <m/>
    <m/>
    <m/>
    <n v="25"/>
    <n v="5"/>
    <m/>
    <m/>
    <m/>
    <m/>
    <m/>
    <x v="6"/>
    <n v="41"/>
    <n v="1"/>
    <n v="1"/>
  </r>
  <r>
    <m/>
    <s v="Introduction to Naval Safety and Occupational Health (Global Online) "/>
    <s v="A-493-0550"/>
    <s v="09K5"/>
    <s v="Global Online"/>
    <d v="2024-05-20T00:00:00"/>
    <d v="2024-05-24T00:00:00"/>
    <m/>
    <d v="1899-12-30T11:00:00"/>
    <d v="1899-12-30T08:00:00"/>
    <d v="1899-12-30T18:00:00"/>
    <d v="1899-12-30T16:00:00"/>
    <d v="1899-12-30T05:00:00"/>
    <d v="1899-12-30T00:00:00"/>
    <s v="D. Rodriguez"/>
    <m/>
    <e v="#REF!"/>
    <e v="#REF!"/>
    <m/>
    <m/>
    <m/>
    <n v="45"/>
    <n v="4"/>
    <m/>
    <m/>
    <m/>
    <m/>
    <m/>
    <x v="6"/>
    <n v="41"/>
    <n v="1"/>
    <n v="1"/>
  </r>
  <r>
    <m/>
    <s v="Machinery and Machine Guarding Standards (Global Online) "/>
    <s v="A-493-0073"/>
    <s v="714S"/>
    <s v="Global Online"/>
    <d v="2024-05-20T00:00:00"/>
    <d v="2024-05-23T00:00:00"/>
    <m/>
    <d v="1899-12-30T11:00:00"/>
    <d v="1899-12-30T08:00:00"/>
    <d v="1899-12-30T18:00:00"/>
    <d v="1899-12-30T16:00:00"/>
    <d v="1899-12-30T05:00:00"/>
    <d v="1899-12-30T00:00:00"/>
    <s v="SOH Contractor"/>
    <m/>
    <e v="#REF!"/>
    <e v="#REF!"/>
    <m/>
    <m/>
    <m/>
    <n v="30"/>
    <n v="4"/>
    <m/>
    <m/>
    <m/>
    <m/>
    <m/>
    <x v="6"/>
    <n v="40"/>
    <n v="1"/>
    <n v="1"/>
  </r>
  <r>
    <m/>
    <s v="Mishap Investigation (Global Online) "/>
    <s v="A-493-0078"/>
    <n v="1228"/>
    <s v="Global Online"/>
    <d v="2024-05-20T00:00:00"/>
    <d v="2024-05-24T00:00:00"/>
    <m/>
    <d v="1899-12-30T07:00:00"/>
    <d v="1899-12-30T04:00:00"/>
    <d v="1899-12-30T14:00:00"/>
    <d v="1899-12-30T12:00:00"/>
    <d v="1899-12-30T01:00:00"/>
    <d v="1899-12-30T20:00:00"/>
    <s v="T. White"/>
    <m/>
    <e v="#REF!"/>
    <e v="#REF!"/>
    <m/>
    <m/>
    <m/>
    <n v="45"/>
    <n v="5"/>
    <m/>
    <m/>
    <m/>
    <m/>
    <m/>
    <x v="6"/>
    <n v="41"/>
    <n v="1"/>
    <n v="1"/>
  </r>
  <r>
    <m/>
    <s v="Navy Ergonomics Program (Global Online)"/>
    <s v="A-493-0085"/>
    <n v="3555"/>
    <s v="Global Online"/>
    <d v="2024-05-20T00:00:00"/>
    <d v="2024-05-23T00:00:00"/>
    <m/>
    <d v="1899-12-30T12:00:00"/>
    <d v="1899-12-30T09:00:00"/>
    <d v="1899-12-30T19:00:00"/>
    <d v="1899-12-30T17:00:00"/>
    <d v="1899-12-30T06:00:00"/>
    <d v="1899-12-30T01:00:00"/>
    <s v="B. Jung"/>
    <m/>
    <e v="#REF!"/>
    <e v="#REF!"/>
    <m/>
    <m/>
    <m/>
    <n v="30"/>
    <n v="4"/>
    <m/>
    <m/>
    <m/>
    <m/>
    <m/>
    <x v="6"/>
    <n v="40"/>
    <n v="1"/>
    <n v="1"/>
  </r>
  <r>
    <m/>
    <s v="Fire Protection and Life Safety"/>
    <s v="A-493-0075 "/>
    <s v="714U"/>
    <s v="Bangor, WA"/>
    <d v="2024-05-21T00:00:00"/>
    <d v="2024-05-24T00:00:00"/>
    <d v="1899-12-30T08:00:00"/>
    <m/>
    <m/>
    <m/>
    <m/>
    <m/>
    <m/>
    <s v="SOH Contractor"/>
    <m/>
    <m/>
    <m/>
    <m/>
    <m/>
    <m/>
    <n v="30"/>
    <n v="4"/>
    <m/>
    <m/>
    <m/>
    <m/>
    <m/>
    <x v="6"/>
    <n v="41"/>
    <n v="1"/>
    <n v="1"/>
  </r>
  <r>
    <m/>
    <s v="Hazardous Substance Incident Response Management (HSIRM) Refresher"/>
    <s v="A-493-0083"/>
    <s v="339E"/>
    <s v="Chinhae, Korea"/>
    <d v="2024-05-23T00:00:00"/>
    <d v="2024-05-23T00:00:00"/>
    <d v="1899-12-30T08:00:00"/>
    <m/>
    <m/>
    <m/>
    <m/>
    <m/>
    <m/>
    <s v="ENV Contractor"/>
    <m/>
    <e v="#REF!"/>
    <e v="#REF!"/>
    <m/>
    <m/>
    <m/>
    <n v="30"/>
    <n v="1"/>
    <m/>
    <m/>
    <m/>
    <m/>
    <m/>
    <x v="6"/>
    <n v="40"/>
    <n v="1"/>
    <n v="1"/>
  </r>
  <r>
    <s v="Memorial Day"/>
    <s v="Holiday"/>
    <s v="Holiday"/>
    <s v="Holiday"/>
    <m/>
    <d v="2024-05-27T00:00:00"/>
    <d v="2024-05-27T00:00:00"/>
    <d v="1899-12-30T00:00:00"/>
    <d v="1899-12-30T00:00:00"/>
    <d v="1899-12-30T00:00:00"/>
    <d v="1899-12-30T00:00:00"/>
    <d v="1899-12-30T00:00:00"/>
    <d v="1899-12-30T00:00:00"/>
    <d v="1899-12-30T00:00:00"/>
    <m/>
    <m/>
    <e v="#REF!"/>
    <e v="#REF!"/>
    <n v="0"/>
    <n v="0"/>
    <n v="0"/>
    <n v="0"/>
    <n v="0"/>
    <n v="0"/>
    <n v="0"/>
    <n v="0"/>
    <n v="0"/>
    <n v="0"/>
    <x v="5"/>
    <n v="44"/>
    <n v="0"/>
    <n v="1"/>
  </r>
  <r>
    <m/>
    <s v="Introduction to Hazardous Materials [Ashore] (Global Online) "/>
    <s v="A-493-0331"/>
    <s v="10UG"/>
    <s v="Global Online"/>
    <d v="2024-05-28T00:00:00"/>
    <d v="2024-05-30T00:00:00"/>
    <m/>
    <d v="1899-12-30T12:00:00"/>
    <d v="1899-12-30T09:00:00"/>
    <d v="1899-12-30T19:00:00"/>
    <d v="1899-12-30T17:00:00"/>
    <d v="1899-12-30T06:00:00"/>
    <d v="1899-12-30T01:00:00"/>
    <s v="W. Mitchell"/>
    <m/>
    <e v="#REF!"/>
    <e v="#REF!"/>
    <m/>
    <m/>
    <m/>
    <n v="40"/>
    <n v="3"/>
    <m/>
    <m/>
    <m/>
    <m/>
    <m/>
    <x v="6"/>
    <n v="47"/>
    <n v="1"/>
    <n v="1"/>
  </r>
  <r>
    <m/>
    <s v="Fall Protection Program Manager Course (Global Online)"/>
    <s v="A-493-0099"/>
    <s v="12JW"/>
    <s v="Global Online"/>
    <d v="2024-05-28T00:00:00"/>
    <d v="2024-05-30T00:00:00"/>
    <m/>
    <d v="1899-12-30T13:00:00"/>
    <d v="1899-12-30T10:00:00"/>
    <d v="1899-12-30T20:00:00"/>
    <d v="1899-12-30T18:00:00"/>
    <d v="1899-12-30T07:00:00"/>
    <d v="1899-12-30T02:00:00"/>
    <s v="V. Kentish"/>
    <m/>
    <e v="#REF!"/>
    <e v="#REF!"/>
    <m/>
    <m/>
    <m/>
    <n v="45"/>
    <n v="3"/>
    <m/>
    <m/>
    <m/>
    <m/>
    <m/>
    <x v="6"/>
    <n v="47"/>
    <n v="1"/>
    <n v="1"/>
  </r>
  <r>
    <m/>
    <s v="Introduction to Industrial Hygiene for Safety Professionals (Global Online) "/>
    <s v="A-493-0335"/>
    <s v="09ND"/>
    <s v="Global Online"/>
    <d v="2024-05-28T00:00:00"/>
    <d v="2024-05-31T00:00:00"/>
    <m/>
    <d v="1899-12-30T12:00:00"/>
    <d v="1899-12-30T09:00:00"/>
    <d v="1899-12-30T19:00:00"/>
    <d v="1899-12-30T17:00:00"/>
    <d v="1899-12-30T06:00:00"/>
    <d v="1899-12-30T01:00:00"/>
    <s v="B. Jung"/>
    <m/>
    <e v="#REF!"/>
    <e v="#REF!"/>
    <m/>
    <m/>
    <m/>
    <n v="30"/>
    <n v="4"/>
    <m/>
    <m/>
    <m/>
    <m/>
    <m/>
    <x v="6"/>
    <n v="48"/>
    <n v="1"/>
    <n v="1"/>
  </r>
  <r>
    <m/>
    <s v="Operational Risk Management Application &amp; Integration (Global Online)"/>
    <s v="A-570-0100"/>
    <s v="18B7"/>
    <s v="Global Online"/>
    <d v="2024-05-28T00:00:00"/>
    <d v="2024-05-31T00:00:00"/>
    <m/>
    <d v="1899-12-30T13:00:00"/>
    <d v="1899-12-30T10:00:00"/>
    <d v="1899-12-30T20:00:00"/>
    <d v="1899-12-30T18:00:00"/>
    <d v="1899-12-30T07:00:00"/>
    <d v="1899-12-30T02:00:00"/>
    <s v="BMC Sosaya"/>
    <m/>
    <e v="#REF!"/>
    <e v="#REF!"/>
    <m/>
    <m/>
    <m/>
    <n v="30"/>
    <n v="4"/>
    <m/>
    <m/>
    <m/>
    <m/>
    <m/>
    <x v="6"/>
    <n v="48"/>
    <n v="1"/>
    <n v="1"/>
  </r>
  <r>
    <m/>
    <s v="Tank Managers "/>
    <s v="A-493-2017"/>
    <s v="12x3"/>
    <s v="Pearl Harbor, HI"/>
    <d v="2024-06-03T00:00:00"/>
    <d v="2024-06-07T00:00:00"/>
    <d v="1899-12-30T08:00:00"/>
    <m/>
    <m/>
    <m/>
    <m/>
    <m/>
    <m/>
    <s v="ENV Contractor"/>
    <m/>
    <e v="#REF!"/>
    <e v="#REF!"/>
    <m/>
    <m/>
    <m/>
    <n v="25"/>
    <n v="2"/>
    <m/>
    <m/>
    <m/>
    <m/>
    <m/>
    <x v="6"/>
    <n v="55"/>
    <n v="1"/>
    <n v="1"/>
  </r>
  <r>
    <m/>
    <s v="Aviation Safety Specialist (Global Online) "/>
    <s v="A-493-0665"/>
    <s v="10KW"/>
    <s v="Global Online"/>
    <d v="2024-06-03T00:00:00"/>
    <d v="2024-06-07T00:00:00"/>
    <m/>
    <d v="1899-12-30T08:00:00"/>
    <d v="1899-12-30T05:00:00"/>
    <d v="1899-12-30T15:00:00"/>
    <d v="1899-12-30T13:00:00"/>
    <d v="1899-12-30T02:00:00"/>
    <d v="1899-12-30T21:00:00"/>
    <s v="LSC Rouse "/>
    <m/>
    <e v="#REF!"/>
    <e v="#REF!"/>
    <m/>
    <m/>
    <m/>
    <n v="45"/>
    <n v="5"/>
    <m/>
    <m/>
    <m/>
    <m/>
    <m/>
    <x v="6"/>
    <n v="55"/>
    <n v="1"/>
    <n v="1"/>
  </r>
  <r>
    <m/>
    <s v="Competent Person for Fall Protection Course (Resident)"/>
    <s v="A-493-0103"/>
    <s v="12JY"/>
    <s v="Sigonella, Italy"/>
    <d v="2024-06-03T00:00:00"/>
    <d v="2024-06-07T00:00:00"/>
    <d v="1899-12-30T08:00:00"/>
    <m/>
    <m/>
    <m/>
    <m/>
    <m/>
    <m/>
    <s v="SOH Contractor"/>
    <m/>
    <e v="#REF!"/>
    <e v="#REF!"/>
    <m/>
    <m/>
    <m/>
    <n v="25"/>
    <n v="5"/>
    <m/>
    <m/>
    <m/>
    <m/>
    <m/>
    <x v="6"/>
    <n v="55"/>
    <n v="1"/>
    <n v="1"/>
  </r>
  <r>
    <m/>
    <s v="Hazardous Material Control and Management [HMC&amp;M] Technician (Global Online)"/>
    <s v="A-322-2604"/>
    <s v="10ZZ"/>
    <s v="Global Online"/>
    <d v="2024-06-03T00:00:00"/>
    <d v="2024-06-07T00:00:00"/>
    <m/>
    <d v="1899-12-30T13:00:00"/>
    <d v="1899-12-30T10:00:00"/>
    <d v="1899-12-30T20:00:00"/>
    <d v="1899-12-30T18:00:00"/>
    <d v="1899-12-30T07:00:00"/>
    <d v="1899-12-30T02:00:00"/>
    <s v="LSC Rouse "/>
    <m/>
    <e v="#REF!"/>
    <e v="#REF!"/>
    <m/>
    <m/>
    <m/>
    <n v="45"/>
    <n v="5"/>
    <m/>
    <m/>
    <m/>
    <m/>
    <m/>
    <x v="6"/>
    <n v="55"/>
    <n v="1"/>
    <n v="1"/>
  </r>
  <r>
    <s v="Special-Do not Spread(Sea Bees)"/>
    <s v="Introduction to Naval Safety and Occupational Health (Global Online) "/>
    <s v="A-493-0550"/>
    <s v="09K5"/>
    <s v="Global Online"/>
    <d v="2024-06-03T00:00:00"/>
    <d v="2024-06-07T00:00:00"/>
    <m/>
    <d v="1899-12-30T08:00:00"/>
    <d v="1899-12-30T05:00:00"/>
    <d v="1899-12-30T15:00:00"/>
    <d v="1899-12-30T13:00:00"/>
    <d v="1899-12-30T02:00:00"/>
    <d v="1899-12-30T21:00:00"/>
    <s v="D. Rodriguez"/>
    <m/>
    <e v="#REF!"/>
    <e v="#REF!"/>
    <m/>
    <m/>
    <m/>
    <n v="45"/>
    <n v="4"/>
    <m/>
    <m/>
    <m/>
    <m/>
    <m/>
    <x v="6"/>
    <n v="55"/>
    <n v="1"/>
    <n v="1"/>
  </r>
  <r>
    <m/>
    <s v="Respiratory Protection Program Management"/>
    <s v="A-493-0072"/>
    <s v="713U"/>
    <s v="Norfolk, VA Classroom 1"/>
    <d v="2024-06-03T00:00:00"/>
    <d v="2024-06-06T00:00:00"/>
    <d v="1899-12-30T08:00:00"/>
    <m/>
    <m/>
    <m/>
    <m/>
    <m/>
    <m/>
    <s v="B. Jung"/>
    <s v="A. Harris"/>
    <e v="#REF!"/>
    <e v="#REF!"/>
    <m/>
    <m/>
    <m/>
    <n v="30"/>
    <n v="4"/>
    <m/>
    <m/>
    <m/>
    <m/>
    <m/>
    <x v="6"/>
    <n v="54"/>
    <n v="1"/>
    <n v="1"/>
  </r>
  <r>
    <m/>
    <s v="Facility Response Team (FRT) Three Day"/>
    <s v="A-493-0013"/>
    <n v="3683"/>
    <s v="San Clemente Island, CA"/>
    <d v="2024-06-04T00:00:00"/>
    <d v="2024-06-06T00:00:00"/>
    <d v="1899-12-30T08:00:00"/>
    <m/>
    <m/>
    <m/>
    <m/>
    <m/>
    <m/>
    <s v="ENV Contractor"/>
    <m/>
    <e v="#REF!"/>
    <e v="#REF!"/>
    <m/>
    <m/>
    <m/>
    <n v="40"/>
    <n v="3"/>
    <m/>
    <m/>
    <m/>
    <m/>
    <m/>
    <x v="6"/>
    <n v="54"/>
    <n v="1"/>
    <n v="1"/>
  </r>
  <r>
    <s v="Special for USMC"/>
    <s v="Respiratory Protection Program Management"/>
    <s v="A-493-0072"/>
    <s v="713U"/>
    <s v="Okinawa, Japan"/>
    <d v="2024-06-04T00:00:00"/>
    <d v="2024-06-07T00:00:00"/>
    <d v="1899-12-30T08:00:00"/>
    <m/>
    <m/>
    <m/>
    <m/>
    <m/>
    <m/>
    <s v="K. Seo"/>
    <s v="W. Mitchell"/>
    <e v="#REF!"/>
    <e v="#REF!"/>
    <m/>
    <m/>
    <m/>
    <n v="30"/>
    <n v="4"/>
    <m/>
    <m/>
    <m/>
    <m/>
    <m/>
    <x v="6"/>
    <n v="55"/>
    <n v="1"/>
    <n v="1"/>
  </r>
  <r>
    <m/>
    <s v="Incident Command System 300 (ICS 300) Refresher"/>
    <s v="A-493-2301"/>
    <s v="05ZD"/>
    <s v="Okinawa, Japan"/>
    <d v="2024-06-05T00:00:00"/>
    <d v="2024-06-05T00:00:00"/>
    <d v="1899-12-30T08:00:00"/>
    <m/>
    <m/>
    <m/>
    <m/>
    <m/>
    <m/>
    <s v="ENV Contractor"/>
    <m/>
    <e v="#REF!"/>
    <e v="#REF!"/>
    <m/>
    <m/>
    <m/>
    <n v="30"/>
    <n v="1"/>
    <m/>
    <m/>
    <m/>
    <m/>
    <m/>
    <x v="6"/>
    <n v="53"/>
    <n v="1"/>
    <n v="1"/>
  </r>
  <r>
    <m/>
    <s v="Facility Response Team (FRT) Five Day"/>
    <s v="A-493-0012"/>
    <n v="3682"/>
    <s v="Coronado, CA"/>
    <d v="2024-06-10T00:00:00"/>
    <d v="2024-06-14T00:00:00"/>
    <d v="1899-12-30T08:00:00"/>
    <m/>
    <m/>
    <m/>
    <m/>
    <m/>
    <m/>
    <s v="ENV Contractor"/>
    <m/>
    <e v="#REF!"/>
    <e v="#REF!"/>
    <m/>
    <m/>
    <m/>
    <n v="40"/>
    <n v="5"/>
    <m/>
    <m/>
    <m/>
    <m/>
    <m/>
    <x v="6"/>
    <n v="62"/>
    <n v="1"/>
    <n v="1"/>
  </r>
  <r>
    <m/>
    <s v="Competent Person for Fall Protection Course (Resident)"/>
    <s v="A-493-0103"/>
    <s v="12JY"/>
    <s v="Coronado, CA"/>
    <d v="2024-06-10T00:00:00"/>
    <d v="2024-06-14T00:00:00"/>
    <d v="1899-12-30T08:00:00"/>
    <m/>
    <m/>
    <m/>
    <m/>
    <m/>
    <m/>
    <s v="SOH Contractor"/>
    <m/>
    <e v="#REF!"/>
    <e v="#REF!"/>
    <m/>
    <m/>
    <m/>
    <n v="25"/>
    <n v="5"/>
    <m/>
    <m/>
    <m/>
    <m/>
    <m/>
    <x v="6"/>
    <n v="62"/>
    <n v="1"/>
    <n v="1"/>
  </r>
  <r>
    <m/>
    <s v="Confined Space Safety"/>
    <s v="A-493-0030"/>
    <s v="286X"/>
    <s v="Global Online"/>
    <d v="2024-06-10T00:00:00"/>
    <d v="2024-06-14T00:00:00"/>
    <m/>
    <d v="1899-12-30T08:00:00"/>
    <d v="1899-12-30T05:00:00"/>
    <d v="1899-12-30T15:00:00"/>
    <d v="1899-12-30T13:00:00"/>
    <d v="1899-12-30T02:00:00"/>
    <d v="1899-12-30T21:00:00"/>
    <s v="IH Contractor"/>
    <m/>
    <e v="#REF!"/>
    <e v="#REF!"/>
    <m/>
    <m/>
    <m/>
    <n v="25"/>
    <n v="5"/>
    <m/>
    <m/>
    <m/>
    <m/>
    <m/>
    <x v="6"/>
    <n v="62"/>
    <n v="1"/>
    <n v="1"/>
  </r>
  <r>
    <m/>
    <s v="Construction Safety Standards"/>
    <s v="A-493-0021"/>
    <s v="18BN"/>
    <s v="Portsmouth, NH"/>
    <d v="2024-06-10T00:00:00"/>
    <d v="2024-06-14T00:00:00"/>
    <d v="1899-12-30T08:00:00"/>
    <m/>
    <m/>
    <m/>
    <m/>
    <m/>
    <m/>
    <s v="SOH Contractor"/>
    <m/>
    <e v="#REF!"/>
    <e v="#REF!"/>
    <m/>
    <m/>
    <m/>
    <n v="35"/>
    <n v="5"/>
    <m/>
    <m/>
    <m/>
    <m/>
    <m/>
    <x v="6"/>
    <n v="62"/>
    <n v="1"/>
    <n v="1"/>
  </r>
  <r>
    <m/>
    <s v="General Industry Safety Standards (Global Online) "/>
    <s v="A-493-0061"/>
    <s v="288E"/>
    <s v="Global Online"/>
    <d v="2024-06-10T00:00:00"/>
    <d v="2024-06-14T00:00:00"/>
    <m/>
    <d v="1899-12-30T08:00:00"/>
    <d v="1899-12-30T05:00:00"/>
    <d v="1899-12-30T15:00:00"/>
    <d v="1899-12-30T13:00:00"/>
    <d v="1899-12-30T02:00:00"/>
    <d v="1899-12-30T21:00:00"/>
    <s v="S. Griffin"/>
    <m/>
    <e v="#REF!"/>
    <e v="#REF!"/>
    <m/>
    <m/>
    <m/>
    <n v="45"/>
    <n v="5"/>
    <m/>
    <m/>
    <m/>
    <m/>
    <m/>
    <x v="6"/>
    <n v="62"/>
    <n v="1"/>
    <n v="1"/>
  </r>
  <r>
    <m/>
    <s v="Mishap Investigation (Global Online) "/>
    <s v="A-493-0078"/>
    <n v="1228"/>
    <s v="Global Online"/>
    <d v="2024-06-10T00:00:00"/>
    <d v="2024-06-14T00:00:00"/>
    <m/>
    <d v="1899-12-30T13:00:00"/>
    <d v="1899-12-30T10:00:00"/>
    <d v="1899-12-30T20:00:00"/>
    <d v="1899-12-30T18:00:00"/>
    <d v="1899-12-30T07:00:00"/>
    <d v="1899-12-30T02:00:00"/>
    <s v="T. White"/>
    <m/>
    <e v="#REF!"/>
    <e v="#REF!"/>
    <m/>
    <m/>
    <m/>
    <n v="45"/>
    <n v="5"/>
    <m/>
    <m/>
    <m/>
    <m/>
    <m/>
    <x v="6"/>
    <n v="62"/>
    <n v="1"/>
    <n v="1"/>
  </r>
  <r>
    <m/>
    <s v="Safety Programs Afloat (Global Online) "/>
    <s v="A-493-2098"/>
    <s v="09WW"/>
    <s v="Global Online"/>
    <d v="2024-06-10T00:00:00"/>
    <d v="2024-06-14T00:00:00"/>
    <m/>
    <d v="1899-12-30T19:00:00"/>
    <d v="1899-12-30T16:00:00"/>
    <d v="1899-12-30T02:00:00"/>
    <d v="1899-12-30T00:00:00"/>
    <d v="1899-12-30T13:00:00"/>
    <d v="1899-12-30T08:00:00"/>
    <s v="LSC Rouse "/>
    <m/>
    <e v="#REF!"/>
    <e v="#REF!"/>
    <m/>
    <m/>
    <m/>
    <n v="100"/>
    <n v="5"/>
    <m/>
    <m/>
    <m/>
    <m/>
    <m/>
    <x v="6"/>
    <n v="62"/>
    <n v="1"/>
    <n v="1"/>
  </r>
  <r>
    <m/>
    <s v="Facility Response Team (FRT) Three Day"/>
    <s v="A-493-0013"/>
    <n v="3683"/>
    <s v="Virginia Beach, VA "/>
    <d v="2024-06-11T00:00:00"/>
    <d v="2024-06-13T00:00:00"/>
    <d v="1899-12-30T08:00:00"/>
    <m/>
    <m/>
    <m/>
    <m/>
    <m/>
    <m/>
    <s v="ENV Contractor"/>
    <m/>
    <e v="#REF!"/>
    <e v="#REF!"/>
    <m/>
    <m/>
    <m/>
    <n v="40"/>
    <n v="3"/>
    <m/>
    <m/>
    <m/>
    <m/>
    <m/>
    <x v="6"/>
    <n v="61"/>
    <n v="1"/>
    <n v="1"/>
  </r>
  <r>
    <m/>
    <s v="Fall Protection Program Manager Course (Global Online)"/>
    <s v="A-493-0099"/>
    <s v="12JW"/>
    <s v="Global Online"/>
    <d v="2024-06-11T00:00:00"/>
    <d v="2024-06-13T00:00:00"/>
    <m/>
    <d v="1899-12-30T08:00:00"/>
    <d v="1899-12-30T05:00:00"/>
    <d v="1899-12-30T15:00:00"/>
    <d v="1899-12-30T13:00:00"/>
    <d v="1899-12-30T02:00:00"/>
    <d v="1899-12-30T21:00:00"/>
    <s v="V. Kentish"/>
    <m/>
    <e v="#REF!"/>
    <e v="#REF!"/>
    <m/>
    <m/>
    <m/>
    <n v="45"/>
    <n v="3"/>
    <m/>
    <m/>
    <m/>
    <m/>
    <m/>
    <x v="6"/>
    <n v="61"/>
    <n v="1"/>
    <n v="1"/>
  </r>
  <r>
    <m/>
    <s v="Introduction to Hazardous Materials [Ashore] (Global Online) "/>
    <s v="A-493-0331"/>
    <s v="10UG"/>
    <s v="Global Online"/>
    <d v="2024-06-11T00:00:00"/>
    <d v="2024-06-13T00:00:00"/>
    <m/>
    <d v="1899-12-30T12:00:00"/>
    <d v="1899-12-30T09:00:00"/>
    <d v="1899-12-30T19:00:00"/>
    <d v="1899-12-30T17:00:00"/>
    <d v="1899-12-30T06:00:00"/>
    <d v="1899-12-30T01:00:00"/>
    <s v="A. Harris"/>
    <m/>
    <e v="#REF!"/>
    <e v="#REF!"/>
    <m/>
    <m/>
    <m/>
    <n v="40"/>
    <n v="3"/>
    <m/>
    <m/>
    <m/>
    <m/>
    <m/>
    <x v="6"/>
    <n v="61"/>
    <n v="1"/>
    <n v="1"/>
  </r>
  <r>
    <m/>
    <s v="Operational Risk Management Application &amp; Integration (Global Online)"/>
    <s v="A-570-0100"/>
    <s v="18B7"/>
    <s v="Global Online"/>
    <d v="2024-06-11T00:00:00"/>
    <d v="2024-06-14T00:00:00"/>
    <m/>
    <d v="1899-12-30T08:00:00"/>
    <d v="1899-12-30T05:00:00"/>
    <d v="1899-12-30T15:00:00"/>
    <d v="1899-12-30T13:00:00"/>
    <d v="1899-12-30T02:00:00"/>
    <d v="1899-12-30T21:00:00"/>
    <s v="BMC Sosaya"/>
    <m/>
    <e v="#REF!"/>
    <e v="#REF!"/>
    <m/>
    <m/>
    <m/>
    <n v="30"/>
    <n v="4"/>
    <m/>
    <m/>
    <m/>
    <m/>
    <m/>
    <x v="6"/>
    <n v="62"/>
    <n v="1"/>
    <n v="1"/>
  </r>
  <r>
    <m/>
    <s v="Hazardous Substance Incident Response Management (HSIRM) Refresher"/>
    <s v="A-493-0083"/>
    <s v="339E"/>
    <s v="Global Online"/>
    <d v="2024-06-17T00:00:00"/>
    <d v="2024-06-17T00:00:00"/>
    <m/>
    <d v="1899-12-30T02:00:00"/>
    <d v="1899-12-30T23:00:00"/>
    <d v="1899-12-30T10:00:00"/>
    <d v="1899-12-30T08:00:00"/>
    <d v="1899-12-30T21:00:00"/>
    <d v="1899-12-30T16:00:00"/>
    <s v="ENV Contractor"/>
    <m/>
    <e v="#REF!"/>
    <e v="#REF!"/>
    <m/>
    <m/>
    <m/>
    <n v="30"/>
    <n v="1"/>
    <m/>
    <m/>
    <m/>
    <m/>
    <m/>
    <x v="6"/>
    <n v="65"/>
    <n v="1"/>
    <n v="1"/>
  </r>
  <r>
    <s v="Juneteenth"/>
    <s v="Holiday"/>
    <s v="Holiday"/>
    <s v="Holiday"/>
    <m/>
    <d v="2024-06-19T00:00:00"/>
    <d v="2024-06-19T00:00:00"/>
    <d v="1899-12-30T00:00:00"/>
    <d v="1899-12-30T00:00:00"/>
    <d v="1899-12-30T00:00:00"/>
    <d v="1899-12-30T00:00:00"/>
    <d v="1899-12-30T00:00:00"/>
    <d v="1899-12-30T00:00:00"/>
    <d v="1899-12-30T00:00:00"/>
    <m/>
    <m/>
    <e v="#REF!"/>
    <e v="#REF!"/>
    <n v="0"/>
    <n v="0"/>
    <n v="0"/>
    <n v="0"/>
    <n v="0"/>
    <n v="0"/>
    <n v="0"/>
    <n v="0"/>
    <n v="0"/>
    <n v="0"/>
    <x v="5"/>
    <n v="67"/>
    <n v="0"/>
    <n v="1"/>
  </r>
  <r>
    <m/>
    <s v="Facility Response Team (FRT) Five Day"/>
    <s v="A-493-0012"/>
    <n v="3682"/>
    <s v="Point Loma, CA"/>
    <d v="2024-06-24T00:00:00"/>
    <d v="2024-06-28T00:00:00"/>
    <d v="1899-12-30T08:00:00"/>
    <m/>
    <m/>
    <m/>
    <m/>
    <m/>
    <m/>
    <s v="ENV Contractor"/>
    <m/>
    <e v="#REF!"/>
    <e v="#REF!"/>
    <m/>
    <m/>
    <m/>
    <n v="40"/>
    <n v="5"/>
    <m/>
    <m/>
    <m/>
    <m/>
    <m/>
    <x v="6"/>
    <n v="76"/>
    <n v="1"/>
    <n v="1"/>
  </r>
  <r>
    <m/>
    <s v="Facility Response Team (FRT) Five Day"/>
    <s v="A-493-0012"/>
    <n v="3682"/>
    <s v="Bangor, WA"/>
    <d v="2024-06-24T00:00:00"/>
    <d v="2024-06-28T00:00:00"/>
    <d v="1899-12-30T08:00:00"/>
    <m/>
    <m/>
    <m/>
    <m/>
    <m/>
    <m/>
    <s v="ENV Contractor"/>
    <m/>
    <e v="#REF!"/>
    <e v="#REF!"/>
    <m/>
    <m/>
    <m/>
    <n v="40"/>
    <n v="5"/>
    <m/>
    <m/>
    <m/>
    <m/>
    <m/>
    <x v="6"/>
    <n v="76"/>
    <n v="1"/>
    <n v="1"/>
  </r>
  <r>
    <m/>
    <s v="Respiratory Protection Program Management"/>
    <s v="A-493-0072"/>
    <s v="713U"/>
    <s v="Pensacola, FL"/>
    <d v="2024-06-24T00:00:00"/>
    <d v="2024-06-27T00:00:00"/>
    <d v="1899-12-30T08:00:00"/>
    <m/>
    <m/>
    <m/>
    <m/>
    <m/>
    <m/>
    <s v="W. Mitchell"/>
    <s v="A. Harris"/>
    <e v="#REF!"/>
    <e v="#REF!"/>
    <m/>
    <m/>
    <m/>
    <n v="30"/>
    <n v="4"/>
    <m/>
    <m/>
    <m/>
    <m/>
    <m/>
    <x v="6"/>
    <n v="75"/>
    <n v="1"/>
    <n v="1"/>
  </r>
  <r>
    <m/>
    <s v="Afloat Environmental Protection Coordinator (Global Online) "/>
    <s v="A-4J-0022"/>
    <s v="09ER"/>
    <s v="Global Online"/>
    <d v="2024-06-24T00:00:00"/>
    <d v="2024-06-28T00:00:00"/>
    <m/>
    <d v="1899-12-30T13:00:00"/>
    <d v="1899-12-30T10:00:00"/>
    <d v="1899-12-30T20:00:00"/>
    <d v="1899-12-30T18:00:00"/>
    <d v="1899-12-30T07:00:00"/>
    <d v="1899-12-30T02:00:00"/>
    <s v="BMC Sosaya"/>
    <m/>
    <e v="#REF!"/>
    <e v="#REF!"/>
    <m/>
    <m/>
    <m/>
    <n v="45"/>
    <n v="5"/>
    <m/>
    <m/>
    <m/>
    <m/>
    <m/>
    <x v="6"/>
    <n v="76"/>
    <n v="1"/>
    <n v="1"/>
  </r>
  <r>
    <m/>
    <s v="Competent Person for Fall Protection Course (Resident)"/>
    <s v="A-493-0103"/>
    <s v="12JY"/>
    <s v="Coronado, CA"/>
    <d v="2024-06-24T00:00:00"/>
    <d v="2024-06-28T00:00:00"/>
    <d v="1899-12-30T08:00:00"/>
    <m/>
    <m/>
    <m/>
    <m/>
    <m/>
    <m/>
    <s v="SOH Contractor"/>
    <m/>
    <e v="#REF!"/>
    <e v="#REF!"/>
    <m/>
    <m/>
    <m/>
    <n v="25"/>
    <n v="5"/>
    <m/>
    <m/>
    <m/>
    <m/>
    <m/>
    <x v="6"/>
    <n v="76"/>
    <n v="1"/>
    <n v="1"/>
  </r>
  <r>
    <m/>
    <s v="Competent Person for Fall Protection Course (Resident)"/>
    <s v="A-493-0103"/>
    <s v="12JY"/>
    <s v="Norfolk, VA Classroom 1"/>
    <d v="2024-06-24T00:00:00"/>
    <d v="2024-06-28T00:00:00"/>
    <d v="1899-12-30T08:00:00"/>
    <m/>
    <m/>
    <m/>
    <m/>
    <m/>
    <m/>
    <s v="SOH Contractor"/>
    <m/>
    <e v="#REF!"/>
    <e v="#REF!"/>
    <m/>
    <m/>
    <m/>
    <n v="25"/>
    <n v="5"/>
    <m/>
    <m/>
    <m/>
    <m/>
    <m/>
    <x v="6"/>
    <n v="76"/>
    <n v="1"/>
    <n v="1"/>
  </r>
  <r>
    <m/>
    <s v="Hazardous Material Control and Management [HMC&amp;M] Technician (Global Online)"/>
    <s v="A-322-2604"/>
    <s v="10ZZ"/>
    <s v="Global Online"/>
    <d v="2024-06-24T00:00:00"/>
    <d v="2024-06-28T00:00:00"/>
    <m/>
    <d v="1899-12-30T13:00:00"/>
    <d v="1899-12-30T10:00:00"/>
    <d v="1899-12-30T20:00:00"/>
    <d v="1899-12-30T18:00:00"/>
    <d v="1899-12-30T07:00:00"/>
    <d v="1899-12-30T02:00:00"/>
    <s v="TBD"/>
    <m/>
    <e v="#REF!"/>
    <e v="#REF!"/>
    <m/>
    <m/>
    <m/>
    <n v="45"/>
    <n v="5"/>
    <m/>
    <m/>
    <m/>
    <m/>
    <m/>
    <x v="6"/>
    <n v="76"/>
    <n v="1"/>
    <n v="1"/>
  </r>
  <r>
    <m/>
    <s v="Introduction to Industrial Hygiene for Safety Professionals (Global Online) "/>
    <s v="A-493-0335"/>
    <s v="09ND"/>
    <s v="Global Online"/>
    <d v="2024-06-24T00:00:00"/>
    <d v="2024-06-27T00:00:00"/>
    <m/>
    <d v="1899-12-30T12:00:00"/>
    <d v="1899-12-30T09:00:00"/>
    <d v="1899-12-30T19:00:00"/>
    <d v="1899-12-30T17:00:00"/>
    <d v="1899-12-30T06:00:00"/>
    <d v="1899-12-30T01:00:00"/>
    <s v="B. Jung"/>
    <s v="K. Seo"/>
    <e v="#REF!"/>
    <e v="#REF!"/>
    <m/>
    <m/>
    <m/>
    <n v="30"/>
    <n v="4"/>
    <m/>
    <m/>
    <m/>
    <m/>
    <m/>
    <x v="6"/>
    <n v="75"/>
    <n v="1"/>
    <n v="1"/>
  </r>
  <r>
    <m/>
    <s v="Introduction to Naval Safety and Occupational Health (Global Online) "/>
    <s v="A-493-0550"/>
    <s v="09K5"/>
    <s v="Global Online"/>
    <d v="2024-06-24T00:00:00"/>
    <d v="2024-06-28T00:00:00"/>
    <m/>
    <d v="1899-12-30T10:00:00"/>
    <d v="1899-12-30T07:00:00"/>
    <d v="1899-12-30T17:00:00"/>
    <d v="1899-12-30T15:00:00"/>
    <d v="1899-12-30T04:00:00"/>
    <d v="1899-12-30T23:00:00"/>
    <s v="D. Rodriguez"/>
    <m/>
    <e v="#REF!"/>
    <e v="#REF!"/>
    <m/>
    <m/>
    <m/>
    <n v="45"/>
    <n v="4"/>
    <m/>
    <m/>
    <m/>
    <m/>
    <m/>
    <x v="6"/>
    <n v="76"/>
    <n v="1"/>
    <n v="1"/>
  </r>
  <r>
    <m/>
    <s v="Mishap Investigation (Global Online) "/>
    <s v="A-493-0078"/>
    <n v="1228"/>
    <s v="Global Online"/>
    <d v="2024-06-24T00:00:00"/>
    <d v="2024-06-28T00:00:00"/>
    <m/>
    <d v="1899-12-30T08:00:00"/>
    <d v="1899-12-30T05:00:00"/>
    <d v="1899-12-30T15:00:00"/>
    <d v="1899-12-30T13:00:00"/>
    <d v="1899-12-30T02:00:00"/>
    <d v="1899-12-30T21:00:00"/>
    <s v="T. White"/>
    <m/>
    <e v="#REF!"/>
    <e v="#REF!"/>
    <m/>
    <m/>
    <m/>
    <n v="45"/>
    <n v="5"/>
    <m/>
    <m/>
    <m/>
    <m/>
    <m/>
    <x v="6"/>
    <n v="76"/>
    <n v="1"/>
    <n v="1"/>
  </r>
  <r>
    <m/>
    <s v="Operational Risk Management Application &amp; Integration (Global Online)"/>
    <s v="A-570-0100"/>
    <s v="18B7"/>
    <s v="Global Online"/>
    <d v="2024-06-24T00:00:00"/>
    <d v="2024-06-27T00:00:00"/>
    <m/>
    <d v="1899-12-30T13:00:00"/>
    <d v="1899-12-30T10:00:00"/>
    <d v="1899-12-30T20:00:00"/>
    <d v="1899-12-30T18:00:00"/>
    <d v="1899-12-30T07:00:00"/>
    <d v="1899-12-30T02:00:00"/>
    <s v="BMC Sosaya"/>
    <m/>
    <e v="#REF!"/>
    <e v="#REF!"/>
    <m/>
    <m/>
    <m/>
    <n v="30"/>
    <n v="4"/>
    <m/>
    <m/>
    <m/>
    <m/>
    <m/>
    <x v="6"/>
    <n v="75"/>
    <n v="1"/>
    <n v="1"/>
  </r>
  <r>
    <m/>
    <s v="Fall Protection Program Manager Course (Global Online)"/>
    <s v="A-493-0099"/>
    <s v="12JW"/>
    <s v="Global Online"/>
    <d v="2024-06-25T00:00:00"/>
    <d v="2024-06-27T00:00:00"/>
    <m/>
    <d v="1899-12-30T13:00:00"/>
    <d v="1899-12-30T10:00:00"/>
    <d v="1899-12-30T20:00:00"/>
    <d v="1899-12-30T18:00:00"/>
    <d v="1899-12-30T07:00:00"/>
    <d v="1899-12-30T02:00:00"/>
    <s v="V. Kentish"/>
    <m/>
    <e v="#REF!"/>
    <e v="#REF!"/>
    <m/>
    <m/>
    <m/>
    <n v="45"/>
    <n v="3"/>
    <m/>
    <m/>
    <m/>
    <m/>
    <m/>
    <x v="6"/>
    <n v="75"/>
    <n v="1"/>
    <n v="1"/>
  </r>
  <r>
    <m/>
    <s v="Machinery and Machine Guarding Standards (Global Online) "/>
    <s v="A-493-0073"/>
    <s v="714S"/>
    <s v="Global Online"/>
    <d v="2024-06-25T00:00:00"/>
    <d v="2024-06-28T00:00:00"/>
    <m/>
    <d v="1899-12-30T19:00:00"/>
    <d v="1899-12-30T16:00:00"/>
    <d v="1899-12-30T02:00:00"/>
    <d v="1899-12-30T00:00:00"/>
    <d v="1899-12-30T13:00:00"/>
    <d v="1899-12-30T08:00:00"/>
    <s v="SOH Contractor"/>
    <m/>
    <e v="#REF!"/>
    <e v="#REF!"/>
    <m/>
    <m/>
    <m/>
    <n v="30"/>
    <n v="4"/>
    <m/>
    <m/>
    <m/>
    <m/>
    <m/>
    <x v="6"/>
    <n v="76"/>
    <n v="1"/>
    <n v="1"/>
  </r>
  <r>
    <m/>
    <s v="Oil Hazardous Substance Spill Response Tabletop Exercise (OHS TTX)"/>
    <s v="A-493-2501"/>
    <s v="05ZE"/>
    <s v="Yorktown, VA"/>
    <d v="2024-06-26T00:00:00"/>
    <d v="2024-06-26T00:00:00"/>
    <d v="1899-12-30T08:00:00"/>
    <m/>
    <m/>
    <m/>
    <m/>
    <m/>
    <m/>
    <s v="ENV Contractor"/>
    <m/>
    <m/>
    <m/>
    <m/>
    <m/>
    <m/>
    <n v="30"/>
    <n v="1"/>
    <m/>
    <m/>
    <m/>
    <m/>
    <m/>
    <x v="6"/>
    <n v="74"/>
    <n v="1"/>
    <n v="1"/>
  </r>
  <r>
    <s v="July 4th Function"/>
    <s v="Command Function"/>
    <s v="NA"/>
    <s v="NA"/>
    <m/>
    <d v="2024-07-03T00:00:00"/>
    <d v="2024-07-03T00:00:00"/>
    <d v="1899-12-30T13:00:00"/>
    <m/>
    <m/>
    <m/>
    <m/>
    <m/>
    <m/>
    <m/>
    <m/>
    <e v="#REF!"/>
    <e v="#REF!"/>
    <n v="0"/>
    <n v="0"/>
    <n v="0"/>
    <n v="0"/>
    <n v="0"/>
    <n v="0"/>
    <n v="0"/>
    <n v="0"/>
    <n v="0"/>
    <n v="0"/>
    <x v="5"/>
    <n v="81"/>
    <n v="0"/>
    <n v="1"/>
  </r>
  <r>
    <s v="Independence Day"/>
    <s v="Holiday"/>
    <s v="Holiday"/>
    <s v="Holiday"/>
    <m/>
    <d v="2024-07-04T00:00:00"/>
    <d v="2024-07-04T00:00:00"/>
    <d v="1899-12-30T00:00:00"/>
    <d v="1899-12-30T00:00:00"/>
    <d v="1899-12-30T00:00:00"/>
    <d v="1899-12-30T00:00:00"/>
    <d v="1899-12-30T00:00:00"/>
    <d v="1899-12-30T00:00:00"/>
    <d v="1899-12-30T00:00:00"/>
    <m/>
    <m/>
    <e v="#REF!"/>
    <e v="#REF!"/>
    <n v="0"/>
    <n v="0"/>
    <n v="0"/>
    <n v="0"/>
    <n v="0"/>
    <n v="0"/>
    <n v="0"/>
    <n v="0"/>
    <n v="0"/>
    <n v="0"/>
    <x v="5"/>
    <n v="82"/>
    <n v="0"/>
    <n v="1"/>
  </r>
  <r>
    <m/>
    <s v="General Industry Safety Standards (Global Online) "/>
    <s v="A-493-0061"/>
    <s v="288E"/>
    <s v="Global Online"/>
    <d v="2024-07-08T00:00:00"/>
    <d v="2024-07-12T00:00:00"/>
    <m/>
    <d v="1899-12-30T19:00:00"/>
    <d v="1899-12-30T16:00:00"/>
    <d v="1899-12-30T02:00:00"/>
    <d v="1899-12-30T00:00:00"/>
    <d v="1899-12-30T13:00:00"/>
    <d v="1899-12-30T08:00:00"/>
    <s v="S. Griffin"/>
    <m/>
    <e v="#REF!"/>
    <e v="#REF!"/>
    <m/>
    <m/>
    <m/>
    <n v="45"/>
    <n v="5"/>
    <m/>
    <m/>
    <m/>
    <m/>
    <m/>
    <x v="6"/>
    <n v="90"/>
    <n v="1"/>
    <n v="1"/>
  </r>
  <r>
    <m/>
    <s v="Respiratory Protection Program Management"/>
    <s v="A-493-0072"/>
    <s v="713U"/>
    <s v="Indian Head, MD"/>
    <d v="2024-07-08T00:00:00"/>
    <d v="2024-07-11T00:00:00"/>
    <d v="1899-12-30T08:00:00"/>
    <m/>
    <m/>
    <m/>
    <m/>
    <m/>
    <m/>
    <s v="A. Harris"/>
    <s v="W. Mitchell"/>
    <e v="#REF!"/>
    <e v="#REF!"/>
    <m/>
    <m/>
    <m/>
    <n v="30"/>
    <n v="4"/>
    <m/>
    <m/>
    <m/>
    <m/>
    <m/>
    <x v="6"/>
    <n v="89"/>
    <n v="1"/>
    <n v="1"/>
  </r>
  <r>
    <m/>
    <s v="Afloat Environmental Protection Coordinator (Global Online) "/>
    <s v="A-4J-0022"/>
    <s v="09ER"/>
    <s v="Global Online"/>
    <d v="2024-07-08T00:00:00"/>
    <d v="2024-07-12T00:00:00"/>
    <m/>
    <d v="1899-12-30T13:00:00"/>
    <d v="1899-12-30T10:00:00"/>
    <d v="1899-12-30T20:00:00"/>
    <d v="1899-12-30T18:00:00"/>
    <d v="1899-12-30T07:00:00"/>
    <d v="1899-12-30T02:00:00"/>
    <s v="BMC Sosaya"/>
    <m/>
    <e v="#REF!"/>
    <e v="#REF!"/>
    <m/>
    <m/>
    <m/>
    <n v="45"/>
    <n v="5"/>
    <m/>
    <m/>
    <m/>
    <m/>
    <m/>
    <x v="6"/>
    <n v="90"/>
    <n v="1"/>
    <n v="1"/>
  </r>
  <r>
    <m/>
    <s v="Introduction to Naval Safety and Occupational Health (Global Online) "/>
    <s v="A-493-0550"/>
    <s v="09K5"/>
    <s v="Global Online"/>
    <d v="2024-07-08T00:00:00"/>
    <d v="2024-07-12T00:00:00"/>
    <m/>
    <d v="1899-12-30T13:00:00"/>
    <d v="1899-12-30T10:00:00"/>
    <d v="1899-12-30T20:00:00"/>
    <d v="1899-12-30T18:00:00"/>
    <d v="1899-12-30T07:00:00"/>
    <d v="1899-12-30T02:00:00"/>
    <s v="D. Rodriguez"/>
    <m/>
    <e v="#REF!"/>
    <e v="#REF!"/>
    <m/>
    <m/>
    <m/>
    <n v="45"/>
    <n v="4"/>
    <m/>
    <m/>
    <m/>
    <m/>
    <m/>
    <x v="6"/>
    <n v="90"/>
    <n v="1"/>
    <n v="1"/>
  </r>
  <r>
    <m/>
    <s v="Mishap Investigation (Global Online) "/>
    <s v="A-493-0078"/>
    <n v="1228"/>
    <s v="Global Online"/>
    <d v="2024-07-08T00:00:00"/>
    <d v="2024-07-12T00:00:00"/>
    <m/>
    <d v="1899-12-30T08:00:00"/>
    <d v="1899-12-30T05:00:00"/>
    <d v="1899-12-30T16:00:00"/>
    <d v="1899-12-30T14:00:00"/>
    <d v="1899-12-30T03:00:00"/>
    <d v="1899-12-30T22:00:00"/>
    <s v="T. White"/>
    <m/>
    <e v="#REF!"/>
    <e v="#REF!"/>
    <m/>
    <m/>
    <m/>
    <n v="45"/>
    <n v="5"/>
    <m/>
    <m/>
    <m/>
    <m/>
    <m/>
    <x v="6"/>
    <n v="90"/>
    <n v="1"/>
    <n v="1"/>
  </r>
  <r>
    <m/>
    <s v="Navy Ergonomics Program (Global Online)"/>
    <s v="A-493-0085"/>
    <n v="3555"/>
    <s v="Global Online"/>
    <d v="2024-07-08T00:00:00"/>
    <d v="2024-07-11T00:00:00"/>
    <m/>
    <d v="1899-12-30T12:00:00"/>
    <d v="1899-12-30T09:00:00"/>
    <d v="1899-12-30T19:00:00"/>
    <d v="1899-12-30T17:00:00"/>
    <d v="1899-12-30T06:00:00"/>
    <d v="1899-12-30T01:00:00"/>
    <s v="B. Jung"/>
    <m/>
    <e v="#REF!"/>
    <e v="#REF!"/>
    <m/>
    <m/>
    <m/>
    <n v="30"/>
    <n v="4"/>
    <m/>
    <m/>
    <m/>
    <m/>
    <m/>
    <x v="6"/>
    <n v="89"/>
    <n v="1"/>
    <n v="1"/>
  </r>
  <r>
    <m/>
    <s v="Facility Response Team (FRT) Three Day"/>
    <s v="A-493-0013"/>
    <n v="3683"/>
    <s v="Annapolis, MD"/>
    <d v="2024-07-09T00:00:00"/>
    <d v="2024-07-11T00:00:00"/>
    <d v="1899-12-30T08:00:00"/>
    <m/>
    <m/>
    <m/>
    <m/>
    <m/>
    <m/>
    <s v="ENV Contractor"/>
    <m/>
    <e v="#REF!"/>
    <e v="#REF!"/>
    <m/>
    <m/>
    <m/>
    <n v="40"/>
    <n v="3"/>
    <m/>
    <m/>
    <m/>
    <m/>
    <m/>
    <x v="6"/>
    <n v="89"/>
    <n v="1"/>
    <n v="1"/>
  </r>
  <r>
    <m/>
    <s v="Incident Command System 300 (ICS 300) Refresher"/>
    <s v="A-493-2301"/>
    <s v="05ZD"/>
    <s v="Norfolk, VA Classroom 1"/>
    <d v="2024-07-09T00:00:00"/>
    <d v="2024-07-09T00:00:00"/>
    <d v="1899-12-30T08:00:00"/>
    <m/>
    <m/>
    <m/>
    <m/>
    <m/>
    <m/>
    <s v="ENV Contractor"/>
    <m/>
    <e v="#REF!"/>
    <e v="#REF!"/>
    <m/>
    <m/>
    <m/>
    <n v="30"/>
    <n v="1"/>
    <m/>
    <m/>
    <m/>
    <m/>
    <m/>
    <x v="6"/>
    <n v="87"/>
    <n v="1"/>
    <n v="1"/>
  </r>
  <r>
    <m/>
    <s v="Oil Hazardous Substance Spill Response Tabletop Exercise (OHS TTX)"/>
    <s v="A-493-2501"/>
    <s v="05ZE"/>
    <s v="Norfolk, VA Classroom 1"/>
    <d v="2024-07-10T00:00:00"/>
    <d v="2024-07-10T00:00:00"/>
    <d v="1899-12-30T08:00:00"/>
    <m/>
    <m/>
    <m/>
    <m/>
    <m/>
    <m/>
    <s v="ENV Contractor"/>
    <m/>
    <e v="#REF!"/>
    <e v="#REF!"/>
    <m/>
    <m/>
    <m/>
    <n v="30"/>
    <n v="1"/>
    <m/>
    <m/>
    <m/>
    <m/>
    <m/>
    <x v="6"/>
    <n v="88"/>
    <n v="1"/>
    <n v="1"/>
  </r>
  <r>
    <m/>
    <s v="Oil Hazardous Substance Spill Response Tabletop Exercise (OHS TTX)"/>
    <s v="A-493-2501"/>
    <s v="05ZE"/>
    <s v="Oceanan,VA"/>
    <d v="2024-07-11T00:00:00"/>
    <d v="2024-07-11T00:00:00"/>
    <d v="1902-03-10T00:00:00"/>
    <m/>
    <m/>
    <m/>
    <m/>
    <m/>
    <m/>
    <s v="ENV Contractor"/>
    <m/>
    <m/>
    <m/>
    <m/>
    <m/>
    <m/>
    <n v="30"/>
    <n v="1"/>
    <m/>
    <m/>
    <m/>
    <m/>
    <m/>
    <x v="6"/>
    <n v="89"/>
    <n v="1"/>
    <n v="1"/>
  </r>
  <r>
    <m/>
    <s v="Oil Hazardous Substance Spill Response Tabletop Exercise (OHS TTX)"/>
    <s v="A-493-2501"/>
    <s v="05ZE"/>
    <s v="Little Creek, VA"/>
    <d v="2024-07-12T00:00:00"/>
    <d v="2024-07-12T00:00:00"/>
    <d v="1899-12-30T08:00:00"/>
    <m/>
    <m/>
    <m/>
    <m/>
    <m/>
    <m/>
    <s v="ENV Contractor"/>
    <m/>
    <m/>
    <m/>
    <m/>
    <m/>
    <m/>
    <n v="30"/>
    <n v="1"/>
    <m/>
    <m/>
    <m/>
    <m/>
    <m/>
    <x v="6"/>
    <n v="90"/>
    <n v="1"/>
    <n v="1"/>
  </r>
  <r>
    <m/>
    <s v="Asbestos Supervisor Initial"/>
    <s v="A-493-0069"/>
    <s v="450U"/>
    <s v="Pearl Harbor, HI"/>
    <d v="2024-07-15T00:00:00"/>
    <d v="2024-07-19T00:00:00"/>
    <d v="1899-12-30T08:00:00"/>
    <m/>
    <m/>
    <m/>
    <m/>
    <m/>
    <m/>
    <s v="B. Jung"/>
    <s v="V. Kentish"/>
    <e v="#REF!"/>
    <e v="#REF!"/>
    <m/>
    <m/>
    <m/>
    <n v="25"/>
    <n v="5"/>
    <m/>
    <m/>
    <m/>
    <m/>
    <m/>
    <x v="6"/>
    <n v="97"/>
    <n v="1"/>
    <n v="1"/>
  </r>
  <r>
    <m/>
    <s v="Aviation Safety Specialist (Global Online) "/>
    <s v="A-493-0665"/>
    <s v="10KW"/>
    <s v="Global Online"/>
    <d v="2024-07-15T00:00:00"/>
    <d v="2024-07-19T00:00:00"/>
    <m/>
    <d v="1899-12-30T13:00:00"/>
    <d v="1899-12-30T10:00:00"/>
    <d v="1899-12-30T20:00:00"/>
    <d v="1899-12-30T18:00:00"/>
    <d v="1899-12-30T07:00:00"/>
    <d v="1899-12-30T02:00:00"/>
    <s v="TBD"/>
    <m/>
    <e v="#REF!"/>
    <e v="#REF!"/>
    <m/>
    <m/>
    <m/>
    <n v="45"/>
    <n v="5"/>
    <m/>
    <m/>
    <m/>
    <m/>
    <m/>
    <x v="6"/>
    <n v="97"/>
    <n v="1"/>
    <n v="1"/>
  </r>
  <r>
    <s v="USMC"/>
    <s v="Competent Person for Fall Protection Course (Resident)"/>
    <s v="A-493-0103"/>
    <s v="12JY"/>
    <s v="Marine Corps Base Hawaii"/>
    <d v="2024-07-15T00:00:00"/>
    <d v="2024-07-19T00:00:00"/>
    <d v="1899-12-30T08:00:00"/>
    <m/>
    <m/>
    <m/>
    <m/>
    <m/>
    <m/>
    <s v="SOH Contractor"/>
    <m/>
    <e v="#REF!"/>
    <e v="#REF!"/>
    <m/>
    <m/>
    <m/>
    <n v="25"/>
    <n v="5"/>
    <m/>
    <m/>
    <m/>
    <m/>
    <m/>
    <x v="6"/>
    <n v="97"/>
    <n v="1"/>
    <n v="1"/>
  </r>
  <r>
    <m/>
    <s v="Competent Person for Fall Protection Course (Resident)"/>
    <s v="A-493-0103"/>
    <s v="12JY"/>
    <s v="Coronado, CA"/>
    <d v="2024-07-15T00:00:00"/>
    <d v="2024-07-19T00:00:00"/>
    <d v="1899-12-30T08:00:00"/>
    <m/>
    <m/>
    <m/>
    <m/>
    <m/>
    <m/>
    <s v="SOH Contractor"/>
    <m/>
    <e v="#REF!"/>
    <e v="#REF!"/>
    <m/>
    <m/>
    <m/>
    <n v="25"/>
    <n v="5"/>
    <m/>
    <m/>
    <m/>
    <m/>
    <m/>
    <x v="6"/>
    <n v="97"/>
    <n v="1"/>
    <n v="1"/>
  </r>
  <r>
    <m/>
    <s v="Introduction to Hazardous Materials [Ashore] (Global Online) "/>
    <s v="A-493-0331"/>
    <s v="10UG"/>
    <s v="Global Online"/>
    <d v="2024-07-15T00:00:00"/>
    <d v="2024-07-17T00:00:00"/>
    <m/>
    <d v="1899-12-30T19:00:00"/>
    <d v="1899-12-30T16:00:00"/>
    <d v="1899-12-30T02:00:00"/>
    <d v="1899-12-30T00:00:00"/>
    <d v="1899-12-30T13:00:00"/>
    <d v="1899-12-30T08:00:00"/>
    <s v="W. Mitchell"/>
    <m/>
    <e v="#REF!"/>
    <e v="#REF!"/>
    <m/>
    <m/>
    <m/>
    <n v="40"/>
    <n v="3"/>
    <m/>
    <m/>
    <m/>
    <m/>
    <m/>
    <x v="6"/>
    <n v="95"/>
    <n v="1"/>
    <n v="1"/>
  </r>
  <r>
    <m/>
    <s v="Safety Programs Afloat (Global Online) "/>
    <s v="A-493-2098"/>
    <s v="09WW"/>
    <s v="Global Online"/>
    <d v="2024-07-15T00:00:00"/>
    <d v="2024-07-19T00:00:00"/>
    <m/>
    <d v="1899-12-30T13:00:00"/>
    <d v="1899-12-30T10:00:00"/>
    <d v="1899-12-30T20:00:00"/>
    <d v="1899-12-30T18:00:00"/>
    <d v="1899-12-30T07:00:00"/>
    <d v="1899-12-30T02:00:00"/>
    <s v="TBD"/>
    <m/>
    <e v="#REF!"/>
    <e v="#REF!"/>
    <m/>
    <m/>
    <m/>
    <n v="100"/>
    <n v="5"/>
    <m/>
    <m/>
    <m/>
    <m/>
    <m/>
    <x v="6"/>
    <n v="97"/>
    <n v="1"/>
    <n v="1"/>
  </r>
  <r>
    <s v="SMT Special Convening for USMC"/>
    <s v="Facility Response Team (FRT) Three Day"/>
    <s v="A-493-0013"/>
    <n v="3683"/>
    <s v="Quantico, VA"/>
    <d v="2024-07-15T00:00:00"/>
    <d v="2024-07-16T00:00:00"/>
    <d v="1899-12-30T08:00:00"/>
    <m/>
    <m/>
    <m/>
    <m/>
    <m/>
    <m/>
    <s v="ENV Contractor"/>
    <m/>
    <m/>
    <m/>
    <m/>
    <m/>
    <m/>
    <n v="40"/>
    <n v="2"/>
    <m/>
    <m/>
    <m/>
    <m/>
    <m/>
    <x v="6"/>
    <n v="94"/>
    <n v="1"/>
    <n v="1"/>
  </r>
  <r>
    <m/>
    <s v="Facility Response Team (FRT) Three Day"/>
    <s v="A-493-0013"/>
    <n v="3683"/>
    <s v="San Diego, CA"/>
    <d v="2024-07-16T00:00:00"/>
    <d v="2024-07-18T00:00:00"/>
    <d v="1899-12-30T08:00:00"/>
    <m/>
    <m/>
    <m/>
    <m/>
    <m/>
    <m/>
    <s v="ENV Contractor"/>
    <m/>
    <e v="#REF!"/>
    <e v="#REF!"/>
    <m/>
    <m/>
    <m/>
    <n v="40"/>
    <n v="3"/>
    <m/>
    <m/>
    <m/>
    <m/>
    <m/>
    <x v="6"/>
    <n v="96"/>
    <n v="1"/>
    <n v="1"/>
  </r>
  <r>
    <m/>
    <s v="Fire Protection and Life Safety"/>
    <s v="A-493-0075 "/>
    <s v="714U"/>
    <s v="Norfolk, VA Classroom 1"/>
    <d v="2024-07-16T00:00:00"/>
    <d v="2024-07-19T00:00:00"/>
    <d v="1899-12-30T08:00:00"/>
    <m/>
    <m/>
    <m/>
    <m/>
    <m/>
    <m/>
    <s v="SOH Contractor"/>
    <m/>
    <e v="#REF!"/>
    <e v="#REF!"/>
    <m/>
    <m/>
    <m/>
    <n v="30"/>
    <n v="4"/>
    <m/>
    <m/>
    <m/>
    <m/>
    <m/>
    <x v="6"/>
    <n v="97"/>
    <n v="1"/>
    <n v="1"/>
  </r>
  <r>
    <m/>
    <s v="Asbestos Inspector"/>
    <s v="A-493-0014"/>
    <n v="3878"/>
    <s v="Pearl Harbor, HI"/>
    <d v="2024-07-22T00:00:00"/>
    <d v="2024-07-24T00:00:00"/>
    <d v="1899-12-30T08:00:00"/>
    <m/>
    <m/>
    <m/>
    <m/>
    <m/>
    <m/>
    <s v="B. Jung"/>
    <s v="V. Kentish"/>
    <e v="#REF!"/>
    <e v="#REF!"/>
    <m/>
    <m/>
    <m/>
    <n v="25"/>
    <n v="3"/>
    <m/>
    <m/>
    <m/>
    <m/>
    <m/>
    <x v="6"/>
    <n v="102"/>
    <n v="1"/>
    <n v="1"/>
  </r>
  <r>
    <m/>
    <s v="Hazardous Substance Incident Response Management (HSIRM) Refresher"/>
    <s v="A-493-0083"/>
    <s v="339E"/>
    <s v="Global Online"/>
    <d v="2024-07-22T00:00:00"/>
    <d v="2024-07-22T00:00:00"/>
    <m/>
    <d v="1899-12-30T19:00:00"/>
    <d v="1899-12-30T16:00:00"/>
    <d v="1899-12-30T02:00:00"/>
    <d v="1899-12-30T00:00:00"/>
    <d v="1899-12-30T13:00:00"/>
    <d v="1899-12-30T08:00:00"/>
    <s v="ENV Contractor"/>
    <m/>
    <e v="#REF!"/>
    <e v="#REF!"/>
    <m/>
    <m/>
    <m/>
    <n v="30"/>
    <n v="1"/>
    <m/>
    <m/>
    <m/>
    <m/>
    <m/>
    <x v="6"/>
    <n v="100"/>
    <n v="1"/>
    <n v="1"/>
  </r>
  <r>
    <m/>
    <s v="Aviation Safety Specialist (Global Online) "/>
    <s v="A-493-0665"/>
    <s v="10KW"/>
    <s v="Global Online"/>
    <d v="2024-07-22T00:00:00"/>
    <d v="2024-07-26T00:00:00"/>
    <m/>
    <d v="1899-12-30T13:00:00"/>
    <d v="1899-12-30T10:00:00"/>
    <d v="1899-12-30T20:00:00"/>
    <d v="1899-12-30T18:00:00"/>
    <d v="1899-12-30T07:00:00"/>
    <d v="1899-12-30T02:00:00"/>
    <s v="TBD"/>
    <m/>
    <e v="#REF!"/>
    <e v="#REF!"/>
    <m/>
    <m/>
    <m/>
    <n v="45"/>
    <n v="5"/>
    <m/>
    <m/>
    <m/>
    <m/>
    <m/>
    <x v="6"/>
    <n v="104"/>
    <n v="1"/>
    <n v="1"/>
  </r>
  <r>
    <m/>
    <s v="Competent Person for Fall Protection Course (Resident)"/>
    <s v="A-493-0103"/>
    <s v="12JY"/>
    <s v="Atsugi, Japan"/>
    <d v="2024-07-22T00:00:00"/>
    <d v="2024-07-26T00:00:00"/>
    <d v="1899-12-30T08:00:00"/>
    <m/>
    <m/>
    <m/>
    <m/>
    <m/>
    <m/>
    <s v="SOH Contractor"/>
    <m/>
    <e v="#REF!"/>
    <e v="#REF!"/>
    <m/>
    <m/>
    <m/>
    <n v="25"/>
    <n v="5"/>
    <m/>
    <m/>
    <m/>
    <m/>
    <m/>
    <x v="6"/>
    <n v="104"/>
    <n v="1"/>
    <n v="1"/>
  </r>
  <r>
    <m/>
    <s v="Construction Safety Standards"/>
    <s v="A-493-0021"/>
    <s v="18BN"/>
    <s v="Pearl Harbor, HI"/>
    <d v="2024-07-22T00:00:00"/>
    <d v="2024-07-26T00:00:00"/>
    <d v="1899-12-30T08:00:00"/>
    <m/>
    <m/>
    <m/>
    <m/>
    <m/>
    <m/>
    <s v="SOH Contractor"/>
    <m/>
    <e v="#REF!"/>
    <e v="#REF!"/>
    <m/>
    <m/>
    <m/>
    <n v="35"/>
    <n v="5"/>
    <m/>
    <m/>
    <m/>
    <m/>
    <m/>
    <x v="6"/>
    <n v="104"/>
    <n v="1"/>
    <n v="1"/>
  </r>
  <r>
    <m/>
    <s v="General Industry Safety Standards (Global Online) "/>
    <s v="A-493-0061"/>
    <s v="288E"/>
    <s v="Global Online"/>
    <d v="2024-07-22T00:00:00"/>
    <d v="2024-07-26T00:00:00"/>
    <m/>
    <d v="1899-12-30T08:00:00"/>
    <d v="1899-12-30T05:00:00"/>
    <d v="1899-12-30T15:00:00"/>
    <d v="1899-12-30T13:00:00"/>
    <d v="1899-12-30T02:00:00"/>
    <d v="1899-12-30T21:00:00"/>
    <s v="S. Griffin"/>
    <m/>
    <e v="#REF!"/>
    <e v="#REF!"/>
    <m/>
    <m/>
    <m/>
    <n v="45"/>
    <n v="5"/>
    <m/>
    <m/>
    <m/>
    <m/>
    <m/>
    <x v="6"/>
    <n v="104"/>
    <n v="1"/>
    <n v="1"/>
  </r>
  <r>
    <m/>
    <s v="Hazardous Material Control and Management [HMC&amp;M] Technician (Global Online)"/>
    <s v="A-322-2604"/>
    <s v="10ZZ"/>
    <s v="Global Online"/>
    <d v="2024-07-22T00:00:00"/>
    <d v="2024-07-26T00:00:00"/>
    <m/>
    <d v="1899-12-30T13:00:00"/>
    <d v="1899-12-30T10:00:00"/>
    <d v="1899-12-30T20:00:00"/>
    <d v="1899-12-30T18:00:00"/>
    <d v="1899-12-30T07:00:00"/>
    <d v="1899-12-30T02:00:00"/>
    <s v="TBD"/>
    <m/>
    <e v="#REF!"/>
    <e v="#REF!"/>
    <m/>
    <m/>
    <m/>
    <n v="45"/>
    <n v="5"/>
    <m/>
    <m/>
    <m/>
    <m/>
    <m/>
    <x v="6"/>
    <n v="104"/>
    <n v="1"/>
    <n v="1"/>
  </r>
  <r>
    <m/>
    <s v="Introduction to Industrial Hygiene for Safety Professionals (Global Online) "/>
    <s v="A-493-0335"/>
    <s v="09ND"/>
    <s v="Global Online"/>
    <d v="2024-07-22T00:00:00"/>
    <d v="2024-07-25T00:00:00"/>
    <m/>
    <d v="1899-12-30T12:00:00"/>
    <d v="1899-12-30T09:00:00"/>
    <d v="1899-12-30T19:00:00"/>
    <d v="1899-12-30T17:00:00"/>
    <d v="1899-12-30T06:00:00"/>
    <d v="1899-12-30T01:00:00"/>
    <s v="W. Mitchell"/>
    <m/>
    <e v="#REF!"/>
    <e v="#REF!"/>
    <m/>
    <m/>
    <m/>
    <n v="30"/>
    <n v="4"/>
    <m/>
    <m/>
    <m/>
    <m/>
    <m/>
    <x v="6"/>
    <n v="103"/>
    <n v="1"/>
    <n v="1"/>
  </r>
  <r>
    <m/>
    <s v="Introduction to Naval Safety and Occupational Health (Global Online) "/>
    <s v="A-493-0550"/>
    <s v="09K5"/>
    <s v="Global Online"/>
    <d v="2024-07-22T00:00:00"/>
    <d v="2024-07-26T00:00:00"/>
    <m/>
    <d v="1899-12-30T19:00:00"/>
    <d v="1899-12-30T16:00:00"/>
    <d v="1899-12-30T02:00:00"/>
    <d v="1899-12-30T00:00:00"/>
    <d v="1899-12-30T13:00:00"/>
    <d v="1899-12-30T08:00:00"/>
    <s v="D. Rodriguez"/>
    <m/>
    <e v="#REF!"/>
    <e v="#REF!"/>
    <m/>
    <m/>
    <m/>
    <n v="45"/>
    <n v="4"/>
    <m/>
    <m/>
    <m/>
    <m/>
    <m/>
    <x v="6"/>
    <n v="104"/>
    <n v="1"/>
    <n v="1"/>
  </r>
  <r>
    <m/>
    <s v="Mishap Investigation (Global Online) "/>
    <s v="A-493-0078"/>
    <n v="1228"/>
    <s v="Global Online"/>
    <d v="2024-07-22T00:00:00"/>
    <d v="2024-07-26T00:00:00"/>
    <m/>
    <d v="1899-12-30T19:00:00"/>
    <d v="1899-12-30T16:00:00"/>
    <d v="1899-12-30T02:00:00"/>
    <d v="1899-12-30T00:00:00"/>
    <d v="1899-12-30T13:00:00"/>
    <d v="1899-12-30T08:00:00"/>
    <s v="T. White"/>
    <m/>
    <e v="#REF!"/>
    <e v="#REF!"/>
    <m/>
    <m/>
    <m/>
    <n v="45"/>
    <n v="5"/>
    <m/>
    <m/>
    <m/>
    <m/>
    <m/>
    <x v="6"/>
    <n v="104"/>
    <n v="1"/>
    <n v="1"/>
  </r>
  <r>
    <m/>
    <s v="Operational Risk Management Application &amp; Integration (Global Online)"/>
    <s v="A-570-0100"/>
    <s v="18B7"/>
    <s v="Global Online"/>
    <d v="2024-07-22T00:00:00"/>
    <d v="2024-07-25T00:00:00"/>
    <m/>
    <d v="1899-12-30T13:00:00"/>
    <d v="1899-12-30T10:00:00"/>
    <d v="1899-12-30T20:00:00"/>
    <d v="1899-12-30T18:00:00"/>
    <d v="1899-12-30T07:00:00"/>
    <d v="1899-12-30T02:00:00"/>
    <s v="BMC Sosaya"/>
    <m/>
    <e v="#REF!"/>
    <e v="#REF!"/>
    <m/>
    <m/>
    <m/>
    <n v="30"/>
    <n v="4"/>
    <m/>
    <m/>
    <m/>
    <m/>
    <m/>
    <x v="6"/>
    <n v="103"/>
    <n v="1"/>
    <n v="1"/>
  </r>
  <r>
    <m/>
    <s v="Facility Response Team (FRT) Three Day"/>
    <s v="A-493-0013"/>
    <n v="3683"/>
    <s v="Norfolk, VA"/>
    <d v="2024-07-23T00:00:00"/>
    <d v="2024-07-25T00:00:00"/>
    <d v="1899-12-30T08:00:00"/>
    <m/>
    <m/>
    <m/>
    <m/>
    <m/>
    <m/>
    <s v="ENV Contractor"/>
    <m/>
    <e v="#REF!"/>
    <e v="#REF!"/>
    <m/>
    <m/>
    <m/>
    <n v="40"/>
    <n v="3"/>
    <m/>
    <m/>
    <m/>
    <m/>
    <m/>
    <x v="6"/>
    <n v="103"/>
    <n v="1"/>
    <n v="1"/>
  </r>
  <r>
    <m/>
    <s v="Industrial Noise"/>
    <s v="A-493-0092"/>
    <n v="5891"/>
    <s v="Norfolk, VA"/>
    <d v="2024-07-23T00:00:00"/>
    <d v="2024-07-25T00:00:00"/>
    <d v="1899-12-30T08:00:00"/>
    <m/>
    <m/>
    <m/>
    <m/>
    <m/>
    <m/>
    <s v="A. Harris"/>
    <s v="CDR Schaal"/>
    <e v="#REF!"/>
    <e v="#REF!"/>
    <m/>
    <m/>
    <m/>
    <n v="25"/>
    <n v="3"/>
    <m/>
    <m/>
    <m/>
    <m/>
    <m/>
    <x v="6"/>
    <n v="103"/>
    <n v="1"/>
    <n v="1"/>
  </r>
  <r>
    <m/>
    <s v="Machinery and Machine Guarding Standards (Global Online) "/>
    <s v="A-493-0073"/>
    <s v="714S"/>
    <s v="Global Online"/>
    <d v="2024-07-23T00:00:00"/>
    <d v="2024-07-26T00:00:00"/>
    <m/>
    <d v="1899-12-30T08:00:00"/>
    <d v="1899-12-30T05:00:00"/>
    <d v="1899-12-30T15:00:00"/>
    <d v="1899-12-30T13:00:00"/>
    <d v="1899-12-30T02:00:00"/>
    <d v="1899-12-30T21:00:00"/>
    <s v="SOH Contractor"/>
    <m/>
    <e v="#REF!"/>
    <e v="#REF!"/>
    <m/>
    <m/>
    <m/>
    <n v="30"/>
    <n v="4"/>
    <m/>
    <m/>
    <m/>
    <m/>
    <m/>
    <x v="6"/>
    <n v="104"/>
    <n v="1"/>
    <n v="1"/>
  </r>
  <r>
    <m/>
    <s v="Facility Response Team (FRT) Three Day"/>
    <s v="A-493-0013"/>
    <n v="3683"/>
    <s v="Naples, Italy"/>
    <d v="2024-07-24T00:00:00"/>
    <d v="2024-07-26T00:00:00"/>
    <d v="1899-12-30T08:00:00"/>
    <m/>
    <m/>
    <m/>
    <m/>
    <m/>
    <m/>
    <s v="ENV Contractor"/>
    <m/>
    <e v="#REF!"/>
    <e v="#REF!"/>
    <m/>
    <m/>
    <m/>
    <n v="40"/>
    <n v="3"/>
    <m/>
    <m/>
    <m/>
    <m/>
    <m/>
    <x v="6"/>
    <n v="104"/>
    <n v="1"/>
    <n v="1"/>
  </r>
  <r>
    <m/>
    <s v="Asbestos Management Planner "/>
    <s v="A-493-0019"/>
    <n v="3882"/>
    <s v="Pearl Harbor, HI"/>
    <d v="2024-07-25T00:00:00"/>
    <d v="2024-07-26T00:00:00"/>
    <d v="1899-12-30T13:00:00"/>
    <m/>
    <m/>
    <m/>
    <m/>
    <m/>
    <m/>
    <s v="B. Jung"/>
    <s v="V. Kentish"/>
    <e v="#REF!"/>
    <e v="#REF!"/>
    <m/>
    <m/>
    <m/>
    <n v="25"/>
    <n v="2"/>
    <m/>
    <m/>
    <m/>
    <m/>
    <m/>
    <x v="6"/>
    <n v="104"/>
    <n v="1"/>
    <n v="1"/>
  </r>
  <r>
    <m/>
    <s v="Asbestos Supervisor Refresher"/>
    <s v="A-493-0070"/>
    <s v="450V"/>
    <s v="Pearl Harbor, HI"/>
    <d v="2024-07-29T00:00:00"/>
    <d v="2024-07-29T00:00:00"/>
    <d v="1899-12-30T08:00:00"/>
    <m/>
    <m/>
    <m/>
    <m/>
    <m/>
    <m/>
    <s v="B. Jung"/>
    <s v="V. Kentish"/>
    <e v="#REF!"/>
    <e v="#REF!"/>
    <m/>
    <m/>
    <m/>
    <n v="30"/>
    <n v="1"/>
    <m/>
    <m/>
    <m/>
    <m/>
    <m/>
    <x v="6"/>
    <n v="107"/>
    <n v="1"/>
    <n v="1"/>
  </r>
  <r>
    <m/>
    <s v="Safety Programs Afloat (Global Online) "/>
    <s v="A-493-2098"/>
    <s v="09WW"/>
    <s v="Global Online"/>
    <d v="2024-07-29T00:00:00"/>
    <d v="2024-08-02T00:00:00"/>
    <m/>
    <d v="1899-12-30T13:00:00"/>
    <d v="1899-12-30T10:00:00"/>
    <d v="1899-12-30T20:00:00"/>
    <d v="1899-12-30T18:00:00"/>
    <d v="1899-12-30T07:00:00"/>
    <d v="1899-12-30T02:00:00"/>
    <s v="TBD"/>
    <m/>
    <e v="#REF!"/>
    <e v="#REF!"/>
    <m/>
    <m/>
    <m/>
    <n v="100"/>
    <n v="5"/>
    <m/>
    <m/>
    <m/>
    <m/>
    <m/>
    <x v="6"/>
    <n v="111"/>
    <n v="1"/>
    <n v="1"/>
  </r>
  <r>
    <m/>
    <s v="Asbestos Inspector Refresher"/>
    <s v="A-493-0015"/>
    <n v="3879"/>
    <s v="Pearl Harbor, HI"/>
    <d v="2024-07-30T00:00:00"/>
    <d v="2024-07-30T00:00:00"/>
    <d v="1899-12-30T13:00:00"/>
    <m/>
    <m/>
    <m/>
    <m/>
    <m/>
    <m/>
    <s v="B. Jung"/>
    <s v="V. Kentish"/>
    <e v="#REF!"/>
    <e v="#REF!"/>
    <m/>
    <m/>
    <m/>
    <n v="30"/>
    <n v="1"/>
    <m/>
    <m/>
    <m/>
    <m/>
    <m/>
    <x v="6"/>
    <n v="108"/>
    <n v="1"/>
    <n v="1"/>
  </r>
  <r>
    <m/>
    <s v="Asbestos Management Planner Refresher"/>
    <s v="A-493-0020"/>
    <n v="3888"/>
    <s v="Pearl Harbor, HI"/>
    <d v="2024-07-30T00:00:00"/>
    <d v="2024-07-30T00:00:00"/>
    <d v="1899-12-30T13:00:00"/>
    <m/>
    <m/>
    <m/>
    <m/>
    <m/>
    <m/>
    <s v="B. Jung"/>
    <s v="V. Kentish"/>
    <e v="#REF!"/>
    <e v="#REF!"/>
    <m/>
    <m/>
    <m/>
    <n v="30"/>
    <n v="1"/>
    <m/>
    <m/>
    <m/>
    <m/>
    <m/>
    <x v="6"/>
    <n v="108"/>
    <n v="1"/>
    <n v="1"/>
  </r>
  <r>
    <m/>
    <s v="Hazardous Substance Incident Response Management (HSIRM)"/>
    <s v="A-493-0077"/>
    <s v="0381"/>
    <s v="Yokosuka, Japan"/>
    <d v="2024-07-30T00:00:00"/>
    <d v="2024-08-01T00:00:00"/>
    <d v="1899-12-30T08:00:00"/>
    <m/>
    <m/>
    <m/>
    <m/>
    <m/>
    <m/>
    <s v="ENV Contractor"/>
    <m/>
    <e v="#REF!"/>
    <e v="#REF!"/>
    <m/>
    <m/>
    <m/>
    <n v="25"/>
    <n v="3"/>
    <m/>
    <m/>
    <m/>
    <m/>
    <m/>
    <x v="6"/>
    <n v="110"/>
    <n v="1"/>
    <n v="1"/>
  </r>
  <r>
    <m/>
    <s v="Introduction to Hazardous Materials [Ashore] (Global Online) "/>
    <s v="A-493-0331"/>
    <s v="10UG"/>
    <s v="Global Online"/>
    <d v="2024-07-30T00:00:00"/>
    <d v="2024-08-01T00:00:00"/>
    <m/>
    <d v="1899-12-30T13:00:00"/>
    <d v="1899-12-30T10:00:00"/>
    <d v="1899-12-30T20:00:00"/>
    <d v="1899-12-30T18:00:00"/>
    <d v="1899-12-30T07:00:00"/>
    <d v="1899-12-30T02:00:00"/>
    <s v="W. Mitchell"/>
    <m/>
    <e v="#REF!"/>
    <e v="#REF!"/>
    <m/>
    <m/>
    <m/>
    <n v="40"/>
    <n v="3"/>
    <m/>
    <m/>
    <m/>
    <m/>
    <m/>
    <x v="6"/>
    <n v="110"/>
    <n v="1"/>
    <n v="1"/>
  </r>
  <r>
    <m/>
    <s v="Emergency Asbestos Response Team"/>
    <s v="A-760-2166"/>
    <s v="438J"/>
    <s v="Pearl Harbor, HI"/>
    <d v="2024-07-31T00:00:00"/>
    <d v="2024-08-01T00:00:00"/>
    <d v="1899-12-30T08:00:00"/>
    <m/>
    <m/>
    <m/>
    <m/>
    <m/>
    <m/>
    <s v="B. Jung"/>
    <s v="V. Kentish"/>
    <e v="#REF!"/>
    <e v="#REF!"/>
    <m/>
    <m/>
    <m/>
    <n v="25"/>
    <n v="2"/>
    <m/>
    <m/>
    <m/>
    <m/>
    <m/>
    <x v="6"/>
    <n v="110"/>
    <n v="1"/>
    <n v="1"/>
  </r>
  <r>
    <m/>
    <s v="Facility Response Team (FRT) Three Day"/>
    <s v="A-493-0013"/>
    <n v="3683"/>
    <s v="Pax River, MD"/>
    <d v="2024-07-31T00:00:00"/>
    <d v="2024-08-02T00:00:00"/>
    <d v="1899-12-30T08:00:00"/>
    <m/>
    <m/>
    <m/>
    <m/>
    <m/>
    <m/>
    <s v="ENV Contractor"/>
    <m/>
    <e v="#REF!"/>
    <e v="#REF!"/>
    <m/>
    <m/>
    <m/>
    <n v="40"/>
    <n v="3"/>
    <m/>
    <m/>
    <m/>
    <m/>
    <m/>
    <x v="6"/>
    <n v="111"/>
    <n v="1"/>
    <n v="1"/>
  </r>
  <r>
    <m/>
    <s v="Hazardous Substance Incident Response Management (HSIRM) Refresher"/>
    <s v="A-493-0083"/>
    <s v="339E"/>
    <s v="Yokosuka, Japan"/>
    <d v="2024-08-02T00:00:00"/>
    <d v="2024-08-02T00:00:00"/>
    <d v="1899-12-30T08:00:00"/>
    <m/>
    <m/>
    <m/>
    <m/>
    <m/>
    <m/>
    <s v="ENV Contractor"/>
    <m/>
    <e v="#REF!"/>
    <e v="#REF!"/>
    <m/>
    <m/>
    <m/>
    <n v="30"/>
    <n v="1"/>
    <m/>
    <m/>
    <m/>
    <m/>
    <m/>
    <x v="6"/>
    <n v="111"/>
    <n v="1"/>
    <n v="1"/>
  </r>
  <r>
    <m/>
    <s v="Hazardous Substance Incident Response Management (HSIRM) Refresher"/>
    <s v="A-493-0083"/>
    <s v="339E"/>
    <s v="Global Online"/>
    <d v="2024-08-05T00:00:00"/>
    <d v="2024-08-05T00:00:00"/>
    <m/>
    <d v="1899-12-30T02:00:00"/>
    <d v="1899-12-30T23:00:00"/>
    <d v="1899-12-30T09:00:00"/>
    <d v="1899-12-30T08:00:00"/>
    <d v="1899-12-30T20:00:00"/>
    <d v="1899-12-30T15:00:00"/>
    <s v="ENV Contractor"/>
    <m/>
    <e v="#REF!"/>
    <e v="#REF!"/>
    <m/>
    <m/>
    <m/>
    <n v="30"/>
    <n v="1"/>
    <m/>
    <m/>
    <m/>
    <m/>
    <m/>
    <x v="6"/>
    <n v="114"/>
    <n v="1"/>
    <n v="1"/>
  </r>
  <r>
    <m/>
    <s v="Aviation Safety Specialist (Global Online) "/>
    <s v="A-493-0665"/>
    <s v="10KW"/>
    <s v="Global Online"/>
    <d v="2024-08-05T00:00:00"/>
    <d v="2024-08-09T00:00:00"/>
    <m/>
    <d v="1899-12-30T13:00:00"/>
    <d v="1899-12-30T23:00:00"/>
    <d v="1899-12-30T21:00:00"/>
    <d v="1899-12-30T08:00:00"/>
    <d v="1899-12-30T20:00:00"/>
    <d v="1899-12-30T15:00:00"/>
    <s v="TBD"/>
    <m/>
    <e v="#REF!"/>
    <e v="#REF!"/>
    <m/>
    <m/>
    <m/>
    <n v="45"/>
    <n v="5"/>
    <m/>
    <m/>
    <m/>
    <m/>
    <m/>
    <x v="6"/>
    <n v="118"/>
    <n v="1"/>
    <n v="1"/>
  </r>
  <r>
    <m/>
    <s v="Hazardous Material Control and Management [HMC&amp;M] Technician (Global Online)"/>
    <s v="A-322-2604"/>
    <s v="10ZZ"/>
    <s v="Global Online"/>
    <d v="2024-08-05T00:00:00"/>
    <d v="2024-08-09T00:00:00"/>
    <m/>
    <d v="1899-12-30T19:00:00"/>
    <d v="1899-12-30T16:00:00"/>
    <d v="1899-12-30T02:00:00"/>
    <d v="1899-12-30T00:00:00"/>
    <d v="1899-12-30T13:00:00"/>
    <d v="1899-12-30T08:00:00"/>
    <s v="TBD"/>
    <m/>
    <e v="#REF!"/>
    <e v="#REF!"/>
    <m/>
    <m/>
    <m/>
    <n v="45"/>
    <n v="5"/>
    <m/>
    <m/>
    <m/>
    <m/>
    <m/>
    <x v="6"/>
    <n v="118"/>
    <n v="1"/>
    <n v="1"/>
  </r>
  <r>
    <m/>
    <s v="Hazardous Substance Incident Response Management (HSIRM)"/>
    <s v="A-493-0077"/>
    <s v="0381"/>
    <s v="Sasebo, Japan"/>
    <d v="2024-08-05T00:00:00"/>
    <d v="2024-08-07T00:00:00"/>
    <d v="1899-12-30T08:00:00"/>
    <m/>
    <m/>
    <m/>
    <m/>
    <m/>
    <m/>
    <s v="ENV Contractor"/>
    <m/>
    <e v="#REF!"/>
    <e v="#REF!"/>
    <m/>
    <m/>
    <m/>
    <n v="25"/>
    <n v="3"/>
    <m/>
    <m/>
    <m/>
    <m/>
    <m/>
    <x v="6"/>
    <n v="116"/>
    <n v="1"/>
    <n v="1"/>
  </r>
  <r>
    <m/>
    <s v="Navy Ergonomics Program (Global Online)"/>
    <s v="A-493-0085"/>
    <n v="3555"/>
    <s v="Global Online"/>
    <d v="2024-08-05T00:00:00"/>
    <d v="2024-08-08T00:00:00"/>
    <m/>
    <d v="1899-12-30T12:00:00"/>
    <d v="1899-12-30T09:00:00"/>
    <d v="1899-12-30T19:00:00"/>
    <d v="1899-12-30T17:00:00"/>
    <d v="1899-12-30T06:00:00"/>
    <d v="1899-12-30T01:00:00"/>
    <s v="B. Jung"/>
    <m/>
    <e v="#REF!"/>
    <e v="#REF!"/>
    <m/>
    <m/>
    <m/>
    <n v="30"/>
    <n v="4"/>
    <m/>
    <m/>
    <m/>
    <m/>
    <m/>
    <x v="6"/>
    <n v="117"/>
    <n v="1"/>
    <n v="1"/>
  </r>
  <r>
    <m/>
    <s v="Safety Programs Afloat (Global Online) "/>
    <s v="A-493-2098"/>
    <s v="09WW"/>
    <s v="Global Online"/>
    <d v="2024-08-05T00:00:00"/>
    <d v="2024-08-09T00:00:00"/>
    <m/>
    <d v="1899-12-30T13:00:00"/>
    <d v="1899-12-30T10:00:00"/>
    <d v="1899-12-30T20:00:00"/>
    <d v="1899-12-30T18:00:00"/>
    <d v="1899-12-30T07:00:00"/>
    <d v="1899-12-30T02:00:00"/>
    <s v="BMC Sosaya"/>
    <m/>
    <e v="#REF!"/>
    <e v="#REF!"/>
    <m/>
    <m/>
    <m/>
    <n v="100"/>
    <n v="5"/>
    <m/>
    <m/>
    <m/>
    <m/>
    <m/>
    <x v="6"/>
    <n v="118"/>
    <n v="1"/>
    <n v="1"/>
  </r>
  <r>
    <m/>
    <s v="Facility Response Team (FRT) Three Day"/>
    <s v="A-493-0013"/>
    <n v="3683"/>
    <s v="Indian Island, WA"/>
    <d v="2024-08-06T00:00:00"/>
    <d v="2024-08-08T00:00:00"/>
    <d v="1899-12-30T08:00:00"/>
    <m/>
    <m/>
    <m/>
    <m/>
    <m/>
    <m/>
    <s v="ENV Contractor"/>
    <m/>
    <e v="#REF!"/>
    <e v="#REF!"/>
    <m/>
    <m/>
    <m/>
    <n v="40"/>
    <n v="3"/>
    <m/>
    <m/>
    <m/>
    <m/>
    <m/>
    <x v="6"/>
    <n v="117"/>
    <n v="1"/>
    <n v="1"/>
  </r>
  <r>
    <m/>
    <s v="Industrial Noise"/>
    <s v="A-493-0092"/>
    <n v="5891"/>
    <s v="Coronado, CA"/>
    <d v="2024-08-07T00:00:00"/>
    <d v="2024-08-09T00:00:00"/>
    <d v="1899-12-30T08:00:00"/>
    <m/>
    <m/>
    <m/>
    <m/>
    <m/>
    <m/>
    <s v="W. Mitchell"/>
    <s v="A. Harris"/>
    <e v="#REF!"/>
    <e v="#REF!"/>
    <m/>
    <m/>
    <m/>
    <n v="25"/>
    <n v="3"/>
    <m/>
    <m/>
    <m/>
    <m/>
    <m/>
    <x v="6"/>
    <n v="118"/>
    <n v="1"/>
    <n v="1"/>
  </r>
  <r>
    <m/>
    <s v="Hazardous Substance Incident Response Management (HSIRM) Refresher"/>
    <s v="A-493-0083"/>
    <s v="339E"/>
    <s v="Sasebo, Japan"/>
    <d v="2024-08-08T00:00:00"/>
    <d v="2024-08-08T00:00:00"/>
    <m/>
    <m/>
    <m/>
    <m/>
    <m/>
    <m/>
    <m/>
    <s v="ENV Contractor"/>
    <m/>
    <m/>
    <m/>
    <m/>
    <m/>
    <m/>
    <n v="30"/>
    <n v="1"/>
    <m/>
    <m/>
    <m/>
    <m/>
    <m/>
    <x v="6"/>
    <n v="117"/>
    <n v="1"/>
    <n v="1"/>
  </r>
  <r>
    <m/>
    <s v="Facility Response Team (FRT) Five Day"/>
    <s v="A-493-0012"/>
    <n v="3682"/>
    <s v="New London, CT"/>
    <d v="2024-08-12T00:00:00"/>
    <d v="2024-08-16T00:00:00"/>
    <d v="1899-12-30T08:00:00"/>
    <m/>
    <m/>
    <m/>
    <m/>
    <m/>
    <m/>
    <s v="ENV Contractor"/>
    <m/>
    <m/>
    <m/>
    <m/>
    <m/>
    <m/>
    <n v="40"/>
    <n v="5"/>
    <m/>
    <m/>
    <m/>
    <m/>
    <m/>
    <x v="6"/>
    <m/>
    <m/>
    <m/>
  </r>
  <r>
    <m/>
    <s v="Competent Person for Fall Protection Course (Resident)"/>
    <s v="A-493-0103"/>
    <s v="12JY"/>
    <s v="Norfolk, VA Classroom 1"/>
    <d v="2024-08-12T00:00:00"/>
    <d v="2024-08-16T00:00:00"/>
    <d v="1899-12-30T08:00:00"/>
    <m/>
    <m/>
    <m/>
    <m/>
    <m/>
    <m/>
    <s v="SOH Contractor"/>
    <m/>
    <e v="#REF!"/>
    <e v="#REF!"/>
    <m/>
    <m/>
    <m/>
    <n v="25"/>
    <n v="5"/>
    <m/>
    <m/>
    <m/>
    <m/>
    <m/>
    <x v="6"/>
    <n v="125"/>
    <n v="1"/>
    <n v="1"/>
  </r>
  <r>
    <m/>
    <s v="Competent Person for Fall Protection Course (Resident)"/>
    <s v="A-493-0103"/>
    <s v="12JY"/>
    <s v="Point Loma, CA"/>
    <d v="2024-08-12T00:00:00"/>
    <d v="2024-08-16T00:00:00"/>
    <d v="1899-12-30T08:00:00"/>
    <m/>
    <m/>
    <m/>
    <m/>
    <m/>
    <m/>
    <s v="SOH Contractor"/>
    <m/>
    <e v="#REF!"/>
    <e v="#REF!"/>
    <m/>
    <m/>
    <m/>
    <n v="25"/>
    <n v="5"/>
    <m/>
    <m/>
    <m/>
    <m/>
    <m/>
    <x v="6"/>
    <n v="125"/>
    <n v="1"/>
    <n v="1"/>
  </r>
  <r>
    <m/>
    <s v="Confined Space Safety"/>
    <s v="A-493-0030"/>
    <s v="286X"/>
    <s v="Global Online"/>
    <d v="2024-08-12T00:00:00"/>
    <d v="2024-08-16T00:00:00"/>
    <m/>
    <d v="1899-12-30T08:00:00"/>
    <d v="1899-12-30T05:00:00"/>
    <d v="1899-12-30T15:00:00"/>
    <d v="1899-12-30T13:00:00"/>
    <d v="1899-12-30T02:00:00"/>
    <d v="1899-12-30T21:00:00"/>
    <s v="IH Contractor"/>
    <m/>
    <e v="#REF!"/>
    <e v="#REF!"/>
    <m/>
    <m/>
    <m/>
    <n v="25"/>
    <n v="5"/>
    <m/>
    <m/>
    <m/>
    <m/>
    <m/>
    <x v="6"/>
    <n v="125"/>
    <n v="1"/>
    <n v="1"/>
  </r>
  <r>
    <m/>
    <s v="Construction Safety Standards"/>
    <s v="A-493-0021"/>
    <s v="18BN"/>
    <s v="Coronado, CA"/>
    <d v="2024-08-12T00:00:00"/>
    <d v="2024-08-16T00:00:00"/>
    <d v="1899-12-30T08:00:00"/>
    <m/>
    <m/>
    <m/>
    <m/>
    <m/>
    <m/>
    <s v="SOH Contractor"/>
    <m/>
    <e v="#REF!"/>
    <e v="#REF!"/>
    <m/>
    <m/>
    <m/>
    <n v="35"/>
    <n v="5"/>
    <m/>
    <m/>
    <m/>
    <m/>
    <m/>
    <x v="6"/>
    <n v="125"/>
    <n v="1"/>
    <n v="1"/>
  </r>
  <r>
    <m/>
    <s v="General Industry Safety Standards (Global Online) "/>
    <s v="A-493-0061"/>
    <s v="288E"/>
    <s v="Global Online"/>
    <d v="2024-08-12T00:00:00"/>
    <d v="2024-08-16T00:00:00"/>
    <m/>
    <d v="1899-12-30T10:00:00"/>
    <d v="1899-12-30T07:00:00"/>
    <d v="1899-12-30T17:00:00"/>
    <d v="1899-12-30T15:00:00"/>
    <d v="1899-12-30T04:00:00"/>
    <d v="1899-12-30T23:00:00"/>
    <s v="S. Griffin"/>
    <m/>
    <e v="#REF!"/>
    <e v="#REF!"/>
    <m/>
    <m/>
    <m/>
    <n v="45"/>
    <n v="5"/>
    <m/>
    <m/>
    <m/>
    <m/>
    <m/>
    <x v="6"/>
    <n v="125"/>
    <n v="1"/>
    <n v="1"/>
  </r>
  <r>
    <m/>
    <s v="Incident Command System 300 (ICS 300)"/>
    <s v="A-493-2300"/>
    <s v="993F"/>
    <s v="Bremerton, WA"/>
    <d v="2024-08-12T00:00:00"/>
    <d v="2024-08-13T00:00:00"/>
    <d v="1899-12-30T08:00:00"/>
    <m/>
    <m/>
    <m/>
    <m/>
    <m/>
    <m/>
    <s v="ENV Contractor"/>
    <m/>
    <e v="#REF!"/>
    <e v="#REF!"/>
    <m/>
    <m/>
    <m/>
    <n v="30"/>
    <n v="2"/>
    <m/>
    <m/>
    <m/>
    <m/>
    <m/>
    <x v="6"/>
    <n v="122"/>
    <n v="1"/>
    <n v="1"/>
  </r>
  <r>
    <m/>
    <s v="Industrial Noise"/>
    <s v="A-493-0092"/>
    <n v="5891"/>
    <s v="Pearl Harbor, HI"/>
    <d v="2024-08-12T00:00:00"/>
    <d v="2024-08-14T00:00:00"/>
    <d v="1899-12-30T08:00:00"/>
    <m/>
    <m/>
    <m/>
    <m/>
    <m/>
    <m/>
    <s v="W. Mitchell"/>
    <s v="A. Harris"/>
    <e v="#REF!"/>
    <e v="#REF!"/>
    <m/>
    <m/>
    <m/>
    <n v="25"/>
    <n v="3"/>
    <m/>
    <m/>
    <m/>
    <m/>
    <m/>
    <x v="6"/>
    <n v="123"/>
    <n v="1"/>
    <n v="1"/>
  </r>
  <r>
    <m/>
    <s v="Introduction to Naval Safety and Occupational Health (Global Online) "/>
    <s v="A-493-0550"/>
    <s v="09K5"/>
    <s v="Global Online"/>
    <d v="2024-08-12T00:00:00"/>
    <d v="2024-08-16T00:00:00"/>
    <m/>
    <d v="1899-12-30T13:00:00"/>
    <d v="1899-12-30T10:00:00"/>
    <d v="1899-12-30T20:00:00"/>
    <d v="1899-12-30T18:00:00"/>
    <d v="1899-12-30T07:00:00"/>
    <d v="1899-12-30T02:00:00"/>
    <s v="D. Rodriguez"/>
    <m/>
    <e v="#REF!"/>
    <e v="#REF!"/>
    <m/>
    <m/>
    <m/>
    <n v="45"/>
    <n v="4"/>
    <m/>
    <m/>
    <m/>
    <m/>
    <m/>
    <x v="6"/>
    <n v="125"/>
    <n v="1"/>
    <n v="1"/>
  </r>
  <r>
    <m/>
    <s v="Mishap Investigation (Global Online) "/>
    <s v="A-493-0078"/>
    <n v="1228"/>
    <s v="Global Online"/>
    <d v="2024-08-12T00:00:00"/>
    <d v="2024-08-16T00:00:00"/>
    <m/>
    <d v="1899-12-30T10:00:00"/>
    <d v="1899-12-30T07:00:00"/>
    <d v="1899-12-30T17:00:00"/>
    <d v="1899-12-30T15:00:00"/>
    <d v="1899-12-30T04:00:00"/>
    <d v="1899-12-30T23:00:00"/>
    <s v="T. White"/>
    <m/>
    <e v="#REF!"/>
    <e v="#REF!"/>
    <m/>
    <m/>
    <m/>
    <n v="45"/>
    <n v="5"/>
    <m/>
    <m/>
    <m/>
    <m/>
    <m/>
    <x v="6"/>
    <n v="125"/>
    <n v="1"/>
    <n v="1"/>
  </r>
  <r>
    <m/>
    <s v="Operational Risk Management Application &amp; Integration (Global Online)"/>
    <s v="A-570-0100"/>
    <s v="18B7"/>
    <s v="Global Online"/>
    <d v="2024-08-12T00:00:00"/>
    <d v="2024-08-15T00:00:00"/>
    <m/>
    <d v="1899-12-30T13:00:00"/>
    <d v="1899-12-30T10:00:00"/>
    <d v="1899-12-30T20:00:00"/>
    <d v="1899-12-30T18:00:00"/>
    <d v="1899-12-30T07:00:00"/>
    <d v="1899-12-30T02:00:00"/>
    <s v="BMC Sosaya"/>
    <m/>
    <e v="#REF!"/>
    <e v="#REF!"/>
    <m/>
    <m/>
    <m/>
    <n v="30"/>
    <n v="4"/>
    <m/>
    <m/>
    <m/>
    <m/>
    <m/>
    <x v="6"/>
    <n v="124"/>
    <n v="1"/>
    <n v="1"/>
  </r>
  <r>
    <m/>
    <s v="Fall Protection Program Manager Course (Global Online)"/>
    <s v="A-493-0099"/>
    <s v="12JW"/>
    <s v="Global Online"/>
    <d v="2024-08-13T00:00:00"/>
    <d v="2024-08-15T00:00:00"/>
    <m/>
    <d v="1899-12-30T19:00:00"/>
    <d v="1899-12-30T16:00:00"/>
    <d v="1899-12-30T02:00:00"/>
    <d v="1899-12-30T00:00:00"/>
    <d v="1899-12-30T13:00:00"/>
    <d v="1899-12-30T08:00:00"/>
    <s v="V. Kentish"/>
    <m/>
    <e v="#REF!"/>
    <e v="#REF!"/>
    <m/>
    <m/>
    <m/>
    <n v="45"/>
    <n v="3"/>
    <m/>
    <m/>
    <m/>
    <m/>
    <m/>
    <x v="6"/>
    <n v="124"/>
    <n v="1"/>
    <n v="1"/>
  </r>
  <r>
    <m/>
    <s v="Fire Protection and Life Safety"/>
    <s v="A-493-0075 "/>
    <s v="714U"/>
    <s v="Pearl Harbor, HI"/>
    <d v="2024-08-13T00:00:00"/>
    <d v="2024-08-16T00:00:00"/>
    <d v="1899-12-30T08:00:00"/>
    <m/>
    <m/>
    <m/>
    <m/>
    <m/>
    <m/>
    <s v="SOH Contractor"/>
    <m/>
    <e v="#REF!"/>
    <e v="#REF!"/>
    <m/>
    <m/>
    <m/>
    <n v="30"/>
    <n v="4"/>
    <m/>
    <m/>
    <m/>
    <m/>
    <m/>
    <x v="6"/>
    <n v="125"/>
    <n v="1"/>
    <n v="1"/>
  </r>
  <r>
    <m/>
    <s v="Incident Command System 300 (ICS 300) Refresher"/>
    <s v="A-493-2301"/>
    <s v="05ZD"/>
    <s v="Bremerton, WA"/>
    <d v="2024-08-14T00:00:00"/>
    <d v="2024-08-14T00:00:00"/>
    <d v="1899-12-30T08:00:00"/>
    <m/>
    <m/>
    <m/>
    <m/>
    <m/>
    <m/>
    <s v="ENV Contractor"/>
    <m/>
    <e v="#REF!"/>
    <e v="#REF!"/>
    <m/>
    <m/>
    <m/>
    <n v="30"/>
    <n v="1"/>
    <m/>
    <m/>
    <m/>
    <m/>
    <m/>
    <x v="6"/>
    <n v="123"/>
    <n v="1"/>
    <n v="1"/>
  </r>
  <r>
    <m/>
    <s v="Incident Command System 300 (ICS 300) Refresher"/>
    <s v="A-493-2301"/>
    <s v="05ZD"/>
    <s v="Mayport, FL"/>
    <d v="2024-08-14T00:00:00"/>
    <d v="2024-08-14T00:00:00"/>
    <d v="1899-12-30T08:00:00"/>
    <m/>
    <m/>
    <m/>
    <m/>
    <m/>
    <m/>
    <s v="ENV Contractor"/>
    <m/>
    <e v="#REF!"/>
    <e v="#REF!"/>
    <m/>
    <m/>
    <m/>
    <n v="30"/>
    <n v="1"/>
    <m/>
    <m/>
    <m/>
    <m/>
    <m/>
    <x v="6"/>
    <n v="123"/>
    <n v="1"/>
    <n v="1"/>
  </r>
  <r>
    <m/>
    <s v="Oil Hazardous Substance Spill Response Tabletop Exercise (OHS TTX)"/>
    <s v="A-493-2501"/>
    <s v="05ZE"/>
    <s v="Bremerton, WA"/>
    <d v="2024-08-15T00:00:00"/>
    <d v="2024-08-15T00:00:00"/>
    <d v="1899-12-30T08:00:00"/>
    <m/>
    <m/>
    <m/>
    <m/>
    <m/>
    <m/>
    <s v="ENV Contractor"/>
    <m/>
    <e v="#REF!"/>
    <e v="#REF!"/>
    <m/>
    <m/>
    <m/>
    <n v="30"/>
    <n v="1"/>
    <m/>
    <m/>
    <m/>
    <m/>
    <m/>
    <x v="6"/>
    <n v="124"/>
    <n v="1"/>
    <n v="1"/>
  </r>
  <r>
    <m/>
    <s v="Asbestos Supervisor Refresher"/>
    <s v="A-493-0070"/>
    <s v="450V"/>
    <s v="Global Online"/>
    <d v="2024-08-19T00:00:00"/>
    <d v="2024-08-20T00:00:00"/>
    <m/>
    <d v="1899-12-30T06:00:00"/>
    <d v="1899-12-30T03:00:00"/>
    <d v="1899-12-30T13:00:00"/>
    <d v="1899-12-30T11:00:00"/>
    <d v="1899-12-30T00:00:00"/>
    <d v="1899-12-30T19:00:00"/>
    <s v="B. Jung"/>
    <m/>
    <e v="#REF!"/>
    <e v="#REF!"/>
    <m/>
    <m/>
    <m/>
    <n v="30"/>
    <n v="1"/>
    <m/>
    <m/>
    <m/>
    <m/>
    <m/>
    <x v="6"/>
    <n v="129"/>
    <n v="1"/>
    <n v="1"/>
  </r>
  <r>
    <s v="USMC"/>
    <s v="Competent Person for Fall Protection Course (Resident)"/>
    <s v="A-493-0103"/>
    <s v="12JY"/>
    <s v="Camp Pendleton, CA"/>
    <d v="2024-08-19T00:00:00"/>
    <d v="2024-08-23T00:00:00"/>
    <d v="1899-12-30T08:00:00"/>
    <m/>
    <m/>
    <m/>
    <m/>
    <m/>
    <m/>
    <s v="SOH Contractor"/>
    <m/>
    <e v="#REF!"/>
    <e v="#REF!"/>
    <m/>
    <m/>
    <m/>
    <n v="25"/>
    <n v="5"/>
    <m/>
    <m/>
    <m/>
    <m/>
    <m/>
    <x v="6"/>
    <n v="132"/>
    <n v="1"/>
    <n v="1"/>
  </r>
  <r>
    <m/>
    <s v="Competent Person for Fall Protection Course (Resident)"/>
    <s v="A-493-0103"/>
    <s v="12JY"/>
    <s v="Norfolk, VA Classroom 2"/>
    <d v="2024-08-19T00:00:00"/>
    <d v="2024-08-23T00:00:00"/>
    <d v="1899-12-30T08:00:00"/>
    <m/>
    <m/>
    <m/>
    <m/>
    <m/>
    <m/>
    <s v="SOH Contractor"/>
    <m/>
    <e v="#REF!"/>
    <e v="#REF!"/>
    <m/>
    <m/>
    <m/>
    <n v="25"/>
    <n v="5"/>
    <m/>
    <m/>
    <m/>
    <m/>
    <m/>
    <x v="6"/>
    <n v="132"/>
    <n v="1"/>
    <n v="1"/>
  </r>
  <r>
    <m/>
    <s v="Facility Response Team (FRT) Three Day"/>
    <s v="A-493-0013"/>
    <n v="3683"/>
    <s v="Newport, RI"/>
    <d v="2024-08-19T00:00:00"/>
    <d v="2024-08-21T00:00:00"/>
    <d v="1899-12-30T08:00:00"/>
    <m/>
    <m/>
    <m/>
    <m/>
    <m/>
    <m/>
    <s v="ENV Contractor"/>
    <m/>
    <e v="#REF!"/>
    <e v="#REF!"/>
    <m/>
    <m/>
    <m/>
    <n v="40"/>
    <n v="3"/>
    <m/>
    <m/>
    <m/>
    <m/>
    <m/>
    <x v="6"/>
    <n v="130"/>
    <n v="1"/>
    <n v="1"/>
  </r>
  <r>
    <m/>
    <s v="Fire Protection and Life Safety"/>
    <s v="A-493-0075 "/>
    <s v="714U"/>
    <s v="Sasebo, Japan"/>
    <d v="2024-08-19T00:00:00"/>
    <d v="2024-08-22T00:00:00"/>
    <d v="1899-12-30T08:00:00"/>
    <m/>
    <m/>
    <m/>
    <m/>
    <m/>
    <m/>
    <s v="SOH Contractor"/>
    <m/>
    <e v="#REF!"/>
    <e v="#REF!"/>
    <m/>
    <m/>
    <m/>
    <n v="30"/>
    <n v="4"/>
    <m/>
    <m/>
    <m/>
    <m/>
    <m/>
    <x v="6"/>
    <n v="131"/>
    <n v="1"/>
    <n v="1"/>
  </r>
  <r>
    <m/>
    <s v="Hazardous Material Control and Management [HMC&amp;M] Technician (Global Online)"/>
    <s v="A-322-2604"/>
    <s v="10ZZ"/>
    <s v="Global Online"/>
    <d v="2024-08-19T00:00:00"/>
    <d v="2024-08-23T00:00:00"/>
    <m/>
    <d v="1899-12-30T13:00:00"/>
    <d v="1899-12-30T10:00:00"/>
    <d v="1899-12-30T20:00:00"/>
    <d v="1899-12-30T18:00:00"/>
    <d v="1899-12-30T07:00:00"/>
    <d v="1899-12-30T02:00:00"/>
    <s v="TBD"/>
    <m/>
    <e v="#REF!"/>
    <e v="#REF!"/>
    <m/>
    <m/>
    <m/>
    <n v="45"/>
    <n v="5"/>
    <m/>
    <m/>
    <m/>
    <m/>
    <m/>
    <x v="6"/>
    <n v="132"/>
    <n v="1"/>
    <n v="1"/>
  </r>
  <r>
    <m/>
    <s v="Safety Programs Afloat (Global Online) "/>
    <s v="A-493-2098"/>
    <s v="09WW"/>
    <s v="Global Online"/>
    <d v="2024-08-19T00:00:00"/>
    <d v="2024-08-23T00:00:00"/>
    <m/>
    <d v="1899-12-30T13:00:00"/>
    <d v="1899-12-30T10:00:00"/>
    <d v="1899-12-30T20:00:00"/>
    <d v="1899-12-30T18:00:00"/>
    <d v="1899-12-30T07:00:00"/>
    <d v="1899-12-30T02:00:00"/>
    <s v="TBD"/>
    <m/>
    <e v="#REF!"/>
    <e v="#REF!"/>
    <m/>
    <m/>
    <m/>
    <n v="100"/>
    <n v="5"/>
    <m/>
    <m/>
    <m/>
    <m/>
    <m/>
    <x v="6"/>
    <n v="132"/>
    <n v="1"/>
    <n v="1"/>
  </r>
  <r>
    <m/>
    <s v="Submarine Safety Officer (Global Online) "/>
    <s v="F-4J-0023"/>
    <s v="11A2"/>
    <s v="Global Online"/>
    <d v="2024-08-19T00:00:00"/>
    <d v="2024-08-23T00:00:00"/>
    <m/>
    <d v="1899-12-30T13:00:00"/>
    <d v="1899-12-30T10:00:00"/>
    <d v="1899-12-30T20:00:00"/>
    <d v="1899-12-30T18:00:00"/>
    <d v="1899-12-30T07:00:00"/>
    <d v="1899-12-30T02:00:00"/>
    <s v="LCDR Overton"/>
    <s v="LTJG Andrew"/>
    <e v="#REF!"/>
    <e v="#REF!"/>
    <m/>
    <m/>
    <m/>
    <n v="25"/>
    <n v="2"/>
    <m/>
    <m/>
    <m/>
    <m/>
    <m/>
    <x v="6"/>
    <n v="132"/>
    <n v="1"/>
    <n v="1"/>
  </r>
  <r>
    <s v="USAF special convening do not spread quotas"/>
    <s v="Tank Managers "/>
    <s v="A-493-2017"/>
    <s v="12x3"/>
    <s v="Norfolk, VA Classroom 1"/>
    <d v="2024-08-19T00:00:00"/>
    <d v="2024-08-23T00:00:00"/>
    <d v="1899-12-30T08:00:00"/>
    <m/>
    <m/>
    <m/>
    <m/>
    <m/>
    <m/>
    <s v="ENV Contractor"/>
    <m/>
    <m/>
    <m/>
    <m/>
    <m/>
    <m/>
    <n v="25"/>
    <n v="2"/>
    <m/>
    <m/>
    <m/>
    <m/>
    <m/>
    <x v="6"/>
    <n v="132"/>
    <n v="1"/>
    <n v="1"/>
  </r>
  <r>
    <m/>
    <s v="Introduction to Hazardous Materials [Ashore] (Global Online) "/>
    <s v="A-493-0331"/>
    <s v="10UG"/>
    <s v="Global Online"/>
    <d v="2024-08-20T00:00:00"/>
    <d v="2024-08-22T00:00:00"/>
    <m/>
    <d v="1899-12-30T12:00:00"/>
    <d v="1899-12-30T09:00:00"/>
    <d v="1899-12-30T19:00:00"/>
    <d v="1899-12-30T17:00:00"/>
    <d v="1899-12-30T06:00:00"/>
    <d v="1899-12-30T01:00:00"/>
    <s v="W. Mitchell"/>
    <m/>
    <e v="#REF!"/>
    <e v="#REF!"/>
    <m/>
    <m/>
    <m/>
    <n v="40"/>
    <n v="3"/>
    <m/>
    <m/>
    <m/>
    <m/>
    <m/>
    <x v="6"/>
    <n v="131"/>
    <n v="1"/>
    <n v="1"/>
  </r>
  <r>
    <m/>
    <s v="Hazardous Substance Incident Response Management (HSIRM)"/>
    <s v="A-493-0077"/>
    <s v="0381"/>
    <s v="Guam"/>
    <d v="2024-08-20T00:00:00"/>
    <d v="2024-08-22T00:00:00"/>
    <d v="1899-12-30T08:00:00"/>
    <m/>
    <m/>
    <m/>
    <m/>
    <m/>
    <m/>
    <s v="ENV Contractor"/>
    <m/>
    <e v="#REF!"/>
    <e v="#REF!"/>
    <m/>
    <m/>
    <m/>
    <n v="25"/>
    <n v="3"/>
    <m/>
    <m/>
    <m/>
    <m/>
    <m/>
    <x v="6"/>
    <n v="131"/>
    <n v="1"/>
    <n v="1"/>
  </r>
  <r>
    <m/>
    <s v="Asbestos Inspector Refresher"/>
    <s v="A-493-0015"/>
    <n v="3879"/>
    <s v="Global Online"/>
    <d v="2024-08-21T00:00:00"/>
    <d v="2024-08-21T00:00:00"/>
    <m/>
    <d v="1899-12-30T06:00:00"/>
    <d v="1899-12-30T03:00:00"/>
    <d v="1899-12-30T13:00:00"/>
    <d v="1899-12-30T11:00:00"/>
    <d v="1899-12-30T00:00:00"/>
    <d v="1899-12-30T19:00:00"/>
    <s v="B. Jung"/>
    <m/>
    <e v="#REF!"/>
    <e v="#REF!"/>
    <m/>
    <m/>
    <m/>
    <n v="30"/>
    <n v="1"/>
    <m/>
    <m/>
    <m/>
    <m/>
    <m/>
    <x v="6"/>
    <n v="130"/>
    <n v="1"/>
    <n v="1"/>
  </r>
  <r>
    <m/>
    <s v="Asbestos Management Planner Refresher"/>
    <s v="A-493-0020"/>
    <n v="3888"/>
    <s v="Global Online"/>
    <d v="2024-08-22T00:00:00"/>
    <d v="2024-08-22T00:00:00"/>
    <m/>
    <d v="1899-12-30T06:00:00"/>
    <d v="1899-12-30T03:00:00"/>
    <d v="1899-12-30T13:00:00"/>
    <d v="1899-12-30T11:00:00"/>
    <d v="1899-12-30T00:00:00"/>
    <d v="1899-12-30T19:00:00"/>
    <s v="B. Jung"/>
    <m/>
    <e v="#REF!"/>
    <e v="#REF!"/>
    <m/>
    <m/>
    <m/>
    <n v="30"/>
    <n v="1"/>
    <m/>
    <m/>
    <m/>
    <m/>
    <m/>
    <x v="6"/>
    <n v="131"/>
    <n v="1"/>
    <n v="1"/>
  </r>
  <r>
    <m/>
    <s v="Hazardous Substance Incident Response Management (HSIRM) Refresher"/>
    <s v="A-493-0083"/>
    <s v="339E"/>
    <s v="Guam"/>
    <d v="2024-08-23T00:00:00"/>
    <d v="2024-08-23T00:00:00"/>
    <d v="1899-12-30T08:00:00"/>
    <m/>
    <m/>
    <m/>
    <m/>
    <m/>
    <m/>
    <s v="ENV Contractor"/>
    <m/>
    <e v="#REF!"/>
    <e v="#REF!"/>
    <m/>
    <m/>
    <m/>
    <n v="30"/>
    <n v="1"/>
    <m/>
    <m/>
    <m/>
    <m/>
    <m/>
    <x v="6"/>
    <n v="132"/>
    <n v="1"/>
    <n v="1"/>
  </r>
  <r>
    <m/>
    <s v="Respiratory Protection Program Management"/>
    <s v="A-493-0072"/>
    <s v="713U"/>
    <s v="Norfolk, VA Classroom 1"/>
    <d v="2024-08-26T00:00:00"/>
    <d v="2024-08-29T00:00:00"/>
    <d v="1899-12-30T08:00:00"/>
    <m/>
    <m/>
    <m/>
    <m/>
    <m/>
    <m/>
    <s v="W. Mitchell"/>
    <s v="B. Jung"/>
    <e v="#REF!"/>
    <e v="#REF!"/>
    <m/>
    <m/>
    <m/>
    <n v="30"/>
    <n v="4"/>
    <m/>
    <m/>
    <m/>
    <m/>
    <m/>
    <x v="6"/>
    <n v="138"/>
    <n v="1"/>
    <n v="1"/>
  </r>
  <r>
    <m/>
    <s v="Afloat Environmental Protection Coordinator (Global Online) "/>
    <s v="A-4J-0022"/>
    <s v="09ER"/>
    <s v="Global Online"/>
    <d v="2024-08-26T00:00:00"/>
    <d v="2024-08-30T00:00:00"/>
    <m/>
    <d v="1899-12-30T13:00:00"/>
    <d v="1899-12-30T10:00:00"/>
    <d v="1899-12-30T20:00:00"/>
    <d v="1899-12-30T18:00:00"/>
    <d v="1899-12-30T07:00:00"/>
    <d v="1899-12-30T02:00:00"/>
    <s v="BMC Sosaya"/>
    <m/>
    <e v="#REF!"/>
    <e v="#REF!"/>
    <m/>
    <m/>
    <m/>
    <n v="45"/>
    <n v="5"/>
    <m/>
    <m/>
    <m/>
    <m/>
    <m/>
    <x v="6"/>
    <n v="139"/>
    <n v="1"/>
    <n v="1"/>
  </r>
  <r>
    <m/>
    <s v="Aviation Safety Specialist (Global Online) "/>
    <s v="A-493-0665"/>
    <s v="10KW"/>
    <s v="Global Online"/>
    <d v="2024-08-26T00:00:00"/>
    <d v="2024-08-30T00:00:00"/>
    <m/>
    <d v="1899-12-30T13:00:00"/>
    <d v="1899-12-30T10:00:00"/>
    <d v="1899-12-30T20:00:00"/>
    <d v="1899-12-30T18:00:00"/>
    <d v="1899-12-30T07:00:00"/>
    <d v="1899-12-30T02:00:00"/>
    <s v="TBD"/>
    <m/>
    <e v="#REF!"/>
    <e v="#REF!"/>
    <m/>
    <m/>
    <m/>
    <n v="45"/>
    <n v="5"/>
    <m/>
    <m/>
    <m/>
    <m/>
    <m/>
    <x v="6"/>
    <n v="139"/>
    <n v="1"/>
    <n v="1"/>
  </r>
  <r>
    <m/>
    <s v="Incident Command System 300 (ICS 300) Refresher"/>
    <s v="A-493-2301"/>
    <s v="05ZD"/>
    <s v="Great Lakes, IL"/>
    <d v="2024-08-26T00:00:00"/>
    <d v="2024-08-26T00:00:00"/>
    <d v="1899-12-30T08:00:00"/>
    <m/>
    <m/>
    <m/>
    <m/>
    <m/>
    <m/>
    <s v="ENV Contractor"/>
    <m/>
    <e v="#REF!"/>
    <e v="#REF!"/>
    <m/>
    <m/>
    <m/>
    <n v="30"/>
    <n v="1"/>
    <m/>
    <m/>
    <m/>
    <m/>
    <m/>
    <x v="6"/>
    <n v="135"/>
    <n v="1"/>
    <n v="1"/>
  </r>
  <r>
    <m/>
    <s v="Introduction to Industrial Hygiene for Safety Professionals (Global Online) "/>
    <s v="A-493-0335"/>
    <s v="09ND"/>
    <s v="Global Online"/>
    <d v="2024-08-26T00:00:00"/>
    <d v="2024-08-29T00:00:00"/>
    <m/>
    <d v="1899-12-30T12:00:00"/>
    <d v="1899-12-30T09:00:00"/>
    <d v="1899-12-30T19:00:00"/>
    <d v="1899-12-30T17:00:00"/>
    <d v="1899-12-30T06:00:00"/>
    <d v="1899-12-30T01:00:00"/>
    <s v="A. Harris"/>
    <s v="CDR Schaal"/>
    <e v="#REF!"/>
    <e v="#REF!"/>
    <m/>
    <m/>
    <m/>
    <n v="30"/>
    <n v="4"/>
    <m/>
    <m/>
    <m/>
    <m/>
    <m/>
    <x v="6"/>
    <n v="138"/>
    <n v="1"/>
    <n v="1"/>
  </r>
  <r>
    <m/>
    <s v="Introduction to Naval Safety and Occupational Health (Global Online) "/>
    <s v="A-493-0550"/>
    <s v="09K5"/>
    <s v="Global Online"/>
    <d v="2024-08-26T00:00:00"/>
    <d v="2024-08-30T00:00:00"/>
    <m/>
    <d v="1899-12-30T07:00:00"/>
    <d v="1899-12-30T04:00:00"/>
    <d v="1899-12-30T14:00:00"/>
    <d v="1899-12-30T12:00:00"/>
    <d v="1899-12-30T01:00:00"/>
    <d v="1899-12-30T20:00:00"/>
    <s v="D. Rodriguez"/>
    <m/>
    <e v="#REF!"/>
    <e v="#REF!"/>
    <m/>
    <m/>
    <m/>
    <n v="45"/>
    <n v="4"/>
    <m/>
    <m/>
    <m/>
    <m/>
    <m/>
    <x v="6"/>
    <n v="139"/>
    <n v="1"/>
    <n v="1"/>
  </r>
  <r>
    <m/>
    <s v="Mishap Investigation (Global Online) "/>
    <s v="A-493-0078"/>
    <n v="1228"/>
    <s v="Global Online"/>
    <d v="2024-08-26T00:00:00"/>
    <d v="2024-08-30T00:00:00"/>
    <m/>
    <d v="1899-12-30T13:00:00"/>
    <d v="1899-12-30T10:00:00"/>
    <d v="1899-12-30T20:00:00"/>
    <d v="1899-12-30T18:00:00"/>
    <d v="1899-12-30T07:00:00"/>
    <d v="1899-12-30T02:00:00"/>
    <s v="T. White"/>
    <m/>
    <e v="#REF!"/>
    <e v="#REF!"/>
    <m/>
    <m/>
    <m/>
    <n v="45"/>
    <n v="5"/>
    <m/>
    <m/>
    <m/>
    <m/>
    <m/>
    <x v="6"/>
    <n v="139"/>
    <n v="1"/>
    <n v="1"/>
  </r>
  <r>
    <m/>
    <s v="Hazardous Substance Incident Response Management (HSIRM)"/>
    <s v="A-493-0077"/>
    <s v="0381"/>
    <s v="Pearl Harbor, HI"/>
    <d v="2024-08-26T00:00:00"/>
    <d v="2024-08-28T00:00:00"/>
    <d v="1899-12-30T08:00:00"/>
    <m/>
    <m/>
    <m/>
    <m/>
    <m/>
    <m/>
    <s v="ENV Contractor"/>
    <m/>
    <e v="#REF!"/>
    <e v="#REF!"/>
    <m/>
    <m/>
    <m/>
    <n v="25"/>
    <n v="3"/>
    <m/>
    <m/>
    <m/>
    <m/>
    <m/>
    <x v="6"/>
    <n v="137"/>
    <n v="1"/>
    <n v="1"/>
  </r>
  <r>
    <m/>
    <s v="Oil Hazardous Substance Spill Response Tabletop Exercise (OHS TTX)"/>
    <s v="A-493-2501"/>
    <s v="05ZE"/>
    <s v="Great Lakes, IL"/>
    <d v="2024-08-27T00:00:00"/>
    <d v="2024-08-27T00:00:00"/>
    <d v="1899-12-30T08:00:00"/>
    <m/>
    <m/>
    <m/>
    <m/>
    <m/>
    <m/>
    <s v="ENV Contractor"/>
    <m/>
    <m/>
    <m/>
    <m/>
    <m/>
    <m/>
    <n v="30"/>
    <n v="1"/>
    <m/>
    <m/>
    <m/>
    <m/>
    <m/>
    <x v="6"/>
    <n v="136"/>
    <n v="1"/>
    <n v="1"/>
  </r>
  <r>
    <m/>
    <s v="Fall Protection Program Manager Course (Global Online)"/>
    <s v="A-493-0099"/>
    <s v="12JW"/>
    <s v="Global Online"/>
    <d v="2024-08-27T00:00:00"/>
    <d v="2024-08-29T00:00:00"/>
    <m/>
    <d v="1899-12-30T08:00:00"/>
    <d v="1899-12-30T05:00:00"/>
    <d v="1899-12-30T15:00:00"/>
    <d v="1899-12-30T13:00:00"/>
    <d v="1899-12-30T02:00:00"/>
    <d v="1899-12-30T21:00:00"/>
    <s v="V. Kentish"/>
    <m/>
    <e v="#REF!"/>
    <e v="#REF!"/>
    <m/>
    <m/>
    <m/>
    <n v="45"/>
    <n v="3"/>
    <m/>
    <m/>
    <m/>
    <m/>
    <m/>
    <x v="6"/>
    <n v="138"/>
    <n v="1"/>
    <n v="1"/>
  </r>
  <r>
    <m/>
    <s v="Machinery and Machine Guarding Standards (Global Online) "/>
    <s v="A-493-0073"/>
    <s v="714S"/>
    <s v="Global Online"/>
    <d v="2024-08-27T00:00:00"/>
    <d v="2024-08-30T00:00:00"/>
    <m/>
    <d v="1899-12-30T13:00:00"/>
    <d v="1899-12-30T10:00:00"/>
    <d v="1899-12-30T20:00:00"/>
    <d v="1899-12-30T18:00:00"/>
    <d v="1899-12-30T07:00:00"/>
    <d v="1899-12-30T02:00:00"/>
    <s v="SOH Contractor"/>
    <m/>
    <e v="#REF!"/>
    <e v="#REF!"/>
    <m/>
    <m/>
    <m/>
    <n v="30"/>
    <n v="4"/>
    <m/>
    <m/>
    <m/>
    <m/>
    <m/>
    <x v="6"/>
    <n v="139"/>
    <n v="1"/>
    <n v="1"/>
  </r>
  <r>
    <m/>
    <s v="Incident Command System 300 (ICS 300) Refresher"/>
    <s v="A-493-2301"/>
    <s v="05ZD"/>
    <s v="Crane, IN"/>
    <d v="2024-08-28T00:00:00"/>
    <d v="2024-08-28T00:00:00"/>
    <d v="1899-12-30T08:00:00"/>
    <m/>
    <m/>
    <m/>
    <m/>
    <m/>
    <m/>
    <s v="ENV Contractor"/>
    <m/>
    <e v="#REF!"/>
    <e v="#REF!"/>
    <m/>
    <m/>
    <m/>
    <n v="30"/>
    <n v="1"/>
    <m/>
    <m/>
    <m/>
    <m/>
    <m/>
    <x v="6"/>
    <n v="137"/>
    <n v="1"/>
    <n v="1"/>
  </r>
  <r>
    <m/>
    <s v="Oil Hazardous Substance Spill Response Tabletop Exercise (OHS TTX)"/>
    <s v="A-493-2501"/>
    <s v="05ZE"/>
    <s v="Guam"/>
    <d v="2024-08-29T00:00:00"/>
    <d v="2024-08-29T00:00:00"/>
    <d v="1899-12-30T08:00:00"/>
    <m/>
    <m/>
    <m/>
    <m/>
    <m/>
    <m/>
    <s v="ENV Contractor"/>
    <m/>
    <e v="#REF!"/>
    <e v="#REF!"/>
    <m/>
    <m/>
    <m/>
    <n v="30"/>
    <n v="1"/>
    <m/>
    <m/>
    <m/>
    <m/>
    <m/>
    <x v="6"/>
    <n v="138"/>
    <n v="1"/>
    <n v="1"/>
  </r>
  <r>
    <m/>
    <s v="Hazardous Substance Incident Response Management (HSIRM) Refresher"/>
    <s v="A-493-0083"/>
    <s v="339E"/>
    <s v="Pearl Harbor, HI"/>
    <d v="2024-08-29T00:00:00"/>
    <d v="2024-08-29T00:00:00"/>
    <d v="1899-12-30T08:00:00"/>
    <m/>
    <m/>
    <m/>
    <m/>
    <m/>
    <m/>
    <s v="ENV Contractor"/>
    <m/>
    <e v="#REF!"/>
    <e v="#REF!"/>
    <m/>
    <m/>
    <m/>
    <n v="30"/>
    <n v="1"/>
    <m/>
    <m/>
    <m/>
    <m/>
    <m/>
    <x v="6"/>
    <n v="138"/>
    <n v="1"/>
    <n v="1"/>
  </r>
  <r>
    <m/>
    <s v="Oil Hazardous Substance Spill Response Tabletop Exercise (OHS TTX)"/>
    <s v="A-493-2501"/>
    <s v="05ZE"/>
    <s v="Port Hueneme, CA"/>
    <d v="2024-08-29T00:00:00"/>
    <d v="2024-08-29T00:00:00"/>
    <d v="1899-12-30T08:00:00"/>
    <m/>
    <m/>
    <m/>
    <m/>
    <m/>
    <m/>
    <s v="ENV Contractor"/>
    <m/>
    <e v="#REF!"/>
    <e v="#REF!"/>
    <m/>
    <m/>
    <m/>
    <n v="30"/>
    <n v="1"/>
    <m/>
    <m/>
    <m/>
    <m/>
    <m/>
    <x v="6"/>
    <n v="138"/>
    <n v="1"/>
    <n v="1"/>
  </r>
  <r>
    <s v="Labor Day"/>
    <s v="Holiday"/>
    <s v="Holiday"/>
    <s v="Holiday"/>
    <m/>
    <d v="2024-09-02T00:00:00"/>
    <d v="2024-09-02T00:00:00"/>
    <d v="1899-12-30T00:00:00"/>
    <d v="1899-12-30T00:00:00"/>
    <d v="1899-12-30T00:00:00"/>
    <d v="1899-12-30T00:00:00"/>
    <d v="1899-12-30T00:00:00"/>
    <d v="1899-12-30T00:00:00"/>
    <d v="1899-12-30T00:00:00"/>
    <m/>
    <m/>
    <e v="#REF!"/>
    <e v="#REF!"/>
    <n v="0"/>
    <n v="0"/>
    <n v="0"/>
    <n v="0"/>
    <n v="0"/>
    <n v="0"/>
    <n v="0"/>
    <n v="0"/>
    <n v="0"/>
    <n v="0"/>
    <x v="5"/>
    <n v="142"/>
    <n v="0"/>
    <n v="1"/>
  </r>
  <r>
    <m/>
    <s v="Operational Risk Management Application &amp; Integration (Global Online)"/>
    <s v="A-570-0100"/>
    <s v="18B7"/>
    <s v="Global Online"/>
    <d v="2024-09-03T00:00:00"/>
    <d v="2024-09-06T00:00:00"/>
    <m/>
    <d v="1899-12-30T19:00:00"/>
    <d v="1899-12-30T16:00:00"/>
    <d v="1899-12-30T02:00:00"/>
    <d v="1899-12-30T00:00:00"/>
    <d v="1899-12-30T13:00:00"/>
    <d v="1899-12-30T08:00:00"/>
    <s v="BMC Sosaya"/>
    <m/>
    <e v="#REF!"/>
    <e v="#REF!"/>
    <m/>
    <m/>
    <m/>
    <n v="30"/>
    <n v="4"/>
    <m/>
    <m/>
    <m/>
    <m/>
    <m/>
    <x v="6"/>
    <n v="146"/>
    <n v="1"/>
    <n v="1"/>
  </r>
  <r>
    <m/>
    <s v="Facility Response Team (FRT) Three Day"/>
    <s v="A-493-0013"/>
    <n v="3683"/>
    <s v="Whidbey Island, WA"/>
    <d v="2024-09-04T00:00:00"/>
    <d v="2024-09-06T00:00:00"/>
    <d v="1899-12-30T08:00:00"/>
    <m/>
    <m/>
    <m/>
    <m/>
    <m/>
    <m/>
    <s v="ENV Contractor"/>
    <m/>
    <e v="#REF!"/>
    <e v="#REF!"/>
    <m/>
    <m/>
    <m/>
    <n v="40"/>
    <n v="3"/>
    <m/>
    <m/>
    <m/>
    <m/>
    <m/>
    <x v="6"/>
    <n v="146"/>
    <n v="1"/>
    <n v="1"/>
  </r>
  <r>
    <m/>
    <s v="Industrial Noise"/>
    <s v="A-493-0092"/>
    <n v="5891"/>
    <s v="Bremerton, WA"/>
    <d v="2024-09-04T00:00:00"/>
    <d v="2024-09-06T00:00:00"/>
    <d v="1899-12-30T08:00:00"/>
    <m/>
    <m/>
    <m/>
    <m/>
    <m/>
    <m/>
    <s v="W. Mitchell"/>
    <s v="A. Harris"/>
    <e v="#REF!"/>
    <e v="#REF!"/>
    <m/>
    <m/>
    <m/>
    <n v="25"/>
    <n v="3"/>
    <m/>
    <m/>
    <m/>
    <m/>
    <m/>
    <x v="6"/>
    <n v="146"/>
    <n v="1"/>
    <n v="1"/>
  </r>
  <r>
    <s v="SMT Special Convening for USMC"/>
    <s v="Facility Response Team (FRT) Three Day"/>
    <s v="A-493-0013"/>
    <n v="3683"/>
    <s v="Camp Butler, Japan"/>
    <d v="2024-09-05T00:00:00"/>
    <d v="2024-09-06T00:00:00"/>
    <d v="1899-12-30T08:00:00"/>
    <m/>
    <m/>
    <m/>
    <m/>
    <m/>
    <m/>
    <s v="ENV Contractor"/>
    <m/>
    <m/>
    <m/>
    <m/>
    <m/>
    <m/>
    <n v="40"/>
    <n v="2"/>
    <m/>
    <m/>
    <m/>
    <m/>
    <m/>
    <x v="6"/>
    <n v="146"/>
    <n v="1"/>
    <n v="1"/>
  </r>
  <r>
    <m/>
    <s v="Hazardous Substance Incident Response Management (HSIRM) Refresher"/>
    <s v="A-493-0083"/>
    <s v="339E"/>
    <s v="Global Online"/>
    <d v="2024-09-06T00:00:00"/>
    <d v="2024-09-06T00:00:00"/>
    <m/>
    <d v="1899-12-30T08:00:00"/>
    <d v="1899-12-30T05:00:00"/>
    <d v="1899-12-30T15:00:00"/>
    <d v="1899-12-30T13:00:00"/>
    <d v="1899-12-30T02:00:00"/>
    <d v="1899-12-30T21:00:00"/>
    <s v="ENV Contractor"/>
    <m/>
    <e v="#REF!"/>
    <e v="#REF!"/>
    <m/>
    <m/>
    <m/>
    <n v="30"/>
    <n v="1"/>
    <m/>
    <m/>
    <m/>
    <m/>
    <m/>
    <x v="6"/>
    <n v="146"/>
    <n v="1"/>
    <n v="1"/>
  </r>
  <r>
    <m/>
    <s v="Respiratory Protection Program Management"/>
    <s v="A-493-0072"/>
    <s v="713U"/>
    <s v="Bremerton, WA"/>
    <d v="2024-09-09T00:00:00"/>
    <d v="2024-09-12T00:00:00"/>
    <d v="1899-12-30T08:00:00"/>
    <m/>
    <m/>
    <m/>
    <m/>
    <m/>
    <m/>
    <s v="W. Mitchell"/>
    <m/>
    <e v="#REF!"/>
    <e v="#REF!"/>
    <m/>
    <m/>
    <m/>
    <n v="30"/>
    <n v="4"/>
    <m/>
    <m/>
    <m/>
    <m/>
    <m/>
    <x v="6"/>
    <n v="152"/>
    <n v="1"/>
    <n v="1"/>
  </r>
  <r>
    <m/>
    <s v="Facility Response Team (FRT) Five Day"/>
    <s v="A-493-0012"/>
    <n v="3682"/>
    <s v="Okinawa, Japan"/>
    <d v="2024-09-09T00:00:00"/>
    <d v="2024-09-13T00:00:00"/>
    <d v="1899-12-30T08:00:00"/>
    <m/>
    <m/>
    <m/>
    <m/>
    <m/>
    <m/>
    <s v="ENV Contractor"/>
    <m/>
    <e v="#REF!"/>
    <e v="#REF!"/>
    <m/>
    <m/>
    <m/>
    <n v="40"/>
    <n v="5"/>
    <m/>
    <m/>
    <m/>
    <m/>
    <m/>
    <x v="6"/>
    <n v="153"/>
    <n v="1"/>
    <n v="1"/>
  </r>
  <r>
    <m/>
    <s v="Facility Response Team (FRT) Five Day"/>
    <s v="A-493-0012"/>
    <n v="3682"/>
    <s v="Puget Sound Manchester, WA"/>
    <d v="2024-09-09T00:00:00"/>
    <d v="2024-09-13T00:00:00"/>
    <d v="1899-12-30T08:00:00"/>
    <m/>
    <m/>
    <m/>
    <m/>
    <m/>
    <m/>
    <s v="ENV Contractor"/>
    <m/>
    <e v="#REF!"/>
    <e v="#REF!"/>
    <m/>
    <m/>
    <m/>
    <n v="40"/>
    <n v="5"/>
    <m/>
    <m/>
    <m/>
    <m/>
    <m/>
    <x v="6"/>
    <n v="153"/>
    <n v="1"/>
    <n v="1"/>
  </r>
  <r>
    <m/>
    <s v="Competent Person for Fall Protection Course (Resident)"/>
    <s v="A-493-0103"/>
    <s v="12JY"/>
    <s v="Norfolk, VA Classroom 1"/>
    <d v="2024-09-09T00:00:00"/>
    <d v="2024-09-13T00:00:00"/>
    <d v="1899-12-30T08:00:00"/>
    <m/>
    <m/>
    <m/>
    <m/>
    <m/>
    <m/>
    <s v="SOH Contractor"/>
    <m/>
    <e v="#REF!"/>
    <e v="#REF!"/>
    <m/>
    <m/>
    <m/>
    <n v="25"/>
    <n v="5"/>
    <m/>
    <m/>
    <m/>
    <m/>
    <m/>
    <x v="6"/>
    <n v="153"/>
    <n v="1"/>
    <n v="1"/>
  </r>
  <r>
    <m/>
    <s v="Competent Person for Fall Protection Course (Resident)"/>
    <s v="A-493-0103"/>
    <s v="12JY"/>
    <s v="Port Hueneme, CA"/>
    <d v="2024-09-09T00:00:00"/>
    <d v="2024-09-13T00:00:00"/>
    <d v="1899-12-30T08:00:00"/>
    <m/>
    <m/>
    <m/>
    <m/>
    <m/>
    <m/>
    <s v="SOH Contractor"/>
    <m/>
    <e v="#REF!"/>
    <e v="#REF!"/>
    <m/>
    <m/>
    <m/>
    <n v="25"/>
    <n v="5"/>
    <m/>
    <m/>
    <m/>
    <m/>
    <m/>
    <x v="6"/>
    <n v="153"/>
    <n v="1"/>
    <n v="1"/>
  </r>
  <r>
    <m/>
    <s v="General Industry Safety Standards (Global Online) "/>
    <s v="A-493-0061"/>
    <s v="288E"/>
    <s v="Global Online"/>
    <d v="2024-09-09T00:00:00"/>
    <d v="2024-09-13T00:00:00"/>
    <m/>
    <d v="1899-12-30T13:00:00"/>
    <d v="1899-12-30T10:00:00"/>
    <d v="1899-12-30T20:00:00"/>
    <d v="1899-12-30T18:00:00"/>
    <d v="1899-12-30T07:00:00"/>
    <d v="1899-12-30T02:00:00"/>
    <s v="S. Griffin"/>
    <m/>
    <e v="#REF!"/>
    <e v="#REF!"/>
    <m/>
    <m/>
    <m/>
    <n v="45"/>
    <n v="5"/>
    <m/>
    <m/>
    <m/>
    <m/>
    <m/>
    <x v="6"/>
    <n v="153"/>
    <n v="1"/>
    <n v="1"/>
  </r>
  <r>
    <m/>
    <s v="Hazardous Material Control and Management [HMC&amp;M] Technician (Global Online)"/>
    <s v="A-322-2604"/>
    <s v="10ZZ"/>
    <s v="Global Online"/>
    <d v="2024-09-09T00:00:00"/>
    <d v="2024-09-13T00:00:00"/>
    <m/>
    <d v="1899-12-30T13:00:00"/>
    <d v="1899-12-30T10:00:00"/>
    <d v="1899-12-30T20:00:00"/>
    <d v="1899-12-30T18:00:00"/>
    <d v="1899-12-30T07:00:00"/>
    <d v="1899-12-30T02:00:00"/>
    <s v="TBD"/>
    <m/>
    <e v="#REF!"/>
    <e v="#REF!"/>
    <m/>
    <m/>
    <m/>
    <n v="45"/>
    <n v="5"/>
    <m/>
    <m/>
    <m/>
    <m/>
    <m/>
    <x v="6"/>
    <n v="153"/>
    <n v="1"/>
    <n v="1"/>
  </r>
  <r>
    <m/>
    <s v="Introduction to Naval Safety and Occupational Health (Global Online) "/>
    <s v="A-493-0550"/>
    <s v="09K5"/>
    <s v="Global Online"/>
    <d v="2024-09-09T00:00:00"/>
    <d v="2024-09-13T00:00:00"/>
    <m/>
    <d v="1899-12-30T10:00:00"/>
    <d v="1899-12-30T07:00:00"/>
    <d v="1899-12-30T17:00:00"/>
    <d v="1899-12-30T15:00:00"/>
    <d v="1899-12-30T04:00:00"/>
    <d v="1899-12-30T23:00:00"/>
    <s v="D. Rodriguez"/>
    <m/>
    <e v="#REF!"/>
    <e v="#REF!"/>
    <m/>
    <m/>
    <m/>
    <n v="45"/>
    <n v="4"/>
    <m/>
    <m/>
    <m/>
    <m/>
    <m/>
    <x v="6"/>
    <n v="153"/>
    <n v="1"/>
    <n v="1"/>
  </r>
  <r>
    <m/>
    <s v="Mishap Investigation (Global Online) "/>
    <s v="A-493-0078"/>
    <n v="1228"/>
    <s v="Global Online"/>
    <d v="2024-09-09T00:00:00"/>
    <d v="2024-09-13T00:00:00"/>
    <m/>
    <d v="1899-12-30T08:00:00"/>
    <d v="1899-12-30T05:00:00"/>
    <d v="1899-12-30T15:00:00"/>
    <d v="1899-12-30T13:00:00"/>
    <d v="1899-12-30T02:00:00"/>
    <d v="1899-12-30T21:00:00"/>
    <s v="T. White"/>
    <m/>
    <e v="#REF!"/>
    <e v="#REF!"/>
    <m/>
    <m/>
    <m/>
    <n v="45"/>
    <n v="5"/>
    <m/>
    <m/>
    <m/>
    <m/>
    <m/>
    <x v="6"/>
    <n v="153"/>
    <n v="1"/>
    <n v="1"/>
  </r>
  <r>
    <m/>
    <s v="Respiratory Protection Program Management"/>
    <s v="A-493-0072"/>
    <s v="713U"/>
    <s v="Portsmouth, NH"/>
    <d v="2024-09-09T00:00:00"/>
    <d v="2024-09-12T00:00:00"/>
    <d v="1899-12-30T08:00:00"/>
    <m/>
    <m/>
    <m/>
    <m/>
    <m/>
    <m/>
    <s v="A. Harris"/>
    <s v="CDR Schaal"/>
    <e v="#REF!"/>
    <e v="#REF!"/>
    <m/>
    <m/>
    <m/>
    <n v="30"/>
    <n v="4"/>
    <m/>
    <m/>
    <m/>
    <m/>
    <m/>
    <x v="6"/>
    <n v="152"/>
    <n v="1"/>
    <n v="1"/>
  </r>
  <r>
    <m/>
    <s v="Safety Programs Afloat (Global Online) "/>
    <s v="A-493-2098"/>
    <s v="09WW"/>
    <s v="Global Online"/>
    <d v="2024-09-09T00:00:00"/>
    <d v="2024-09-13T00:00:00"/>
    <m/>
    <d v="1899-12-30T13:00:00"/>
    <d v="1899-12-30T10:00:00"/>
    <d v="1899-12-30T20:00:00"/>
    <d v="1899-12-30T18:00:00"/>
    <d v="1899-12-30T07:00:00"/>
    <d v="1899-12-30T02:00:00"/>
    <s v="TBD"/>
    <m/>
    <e v="#REF!"/>
    <e v="#REF!"/>
    <m/>
    <m/>
    <m/>
    <n v="100"/>
    <n v="5"/>
    <m/>
    <m/>
    <m/>
    <m/>
    <m/>
    <x v="6"/>
    <n v="153"/>
    <n v="1"/>
    <n v="1"/>
  </r>
  <r>
    <m/>
    <s v="Fall Protection Program Manager Course (Global Online)"/>
    <s v="A-493-0099"/>
    <s v="12JW"/>
    <s v="Global Online"/>
    <d v="2024-09-10T00:00:00"/>
    <d v="2024-09-12T00:00:00"/>
    <m/>
    <d v="1899-12-30T13:00:00"/>
    <d v="1899-12-30T10:00:00"/>
    <d v="1899-12-30T20:00:00"/>
    <d v="1899-12-30T18:00:00"/>
    <d v="1899-12-30T07:00:00"/>
    <d v="1899-12-30T02:00:00"/>
    <s v="V. Kentish"/>
    <m/>
    <e v="#REF!"/>
    <e v="#REF!"/>
    <m/>
    <m/>
    <m/>
    <n v="45"/>
    <n v="3"/>
    <m/>
    <m/>
    <m/>
    <m/>
    <m/>
    <x v="6"/>
    <n v="152"/>
    <n v="1"/>
    <n v="1"/>
  </r>
  <r>
    <m/>
    <s v="Incident Command System 300 (ICS 300) Refresher"/>
    <s v="A-493-2301"/>
    <s v="05ZD"/>
    <s v="Colts Neck, NJ"/>
    <d v="2024-09-10T00:00:00"/>
    <d v="2024-09-10T00:00:00"/>
    <d v="1899-12-30T08:00:00"/>
    <m/>
    <m/>
    <m/>
    <m/>
    <m/>
    <m/>
    <s v="ENV Contractor"/>
    <m/>
    <m/>
    <m/>
    <m/>
    <m/>
    <m/>
    <n v="30"/>
    <n v="1"/>
    <m/>
    <m/>
    <m/>
    <m/>
    <m/>
    <x v="6"/>
    <m/>
    <m/>
    <m/>
  </r>
  <r>
    <m/>
    <s v="Oil Hazardous Substance Spill Response Tabletop Exercise (OHS TTX)"/>
    <s v="A-493-2501"/>
    <s v="05ZE"/>
    <s v="Colts Neck, NJ"/>
    <d v="2024-09-11T00:00:00"/>
    <d v="2024-09-11T00:00:00"/>
    <d v="1899-12-30T08:00:00"/>
    <m/>
    <m/>
    <m/>
    <m/>
    <m/>
    <m/>
    <s v="ENV Contractor"/>
    <m/>
    <m/>
    <m/>
    <m/>
    <m/>
    <m/>
    <n v="30"/>
    <n v="1"/>
    <m/>
    <m/>
    <m/>
    <m/>
    <m/>
    <x v="6"/>
    <n v="151"/>
    <n v="1"/>
    <n v="1"/>
  </r>
  <r>
    <m/>
    <s v="Incident Command System 300 (ICS 300)"/>
    <s v="A-493-2300"/>
    <s v="993F"/>
    <s v="Annapolis, MD"/>
    <d v="2024-09-12T00:00:00"/>
    <d v="2024-09-13T00:00:00"/>
    <d v="1899-12-30T08:00:00"/>
    <m/>
    <m/>
    <m/>
    <m/>
    <m/>
    <m/>
    <s v="ENV Contractor"/>
    <m/>
    <e v="#REF!"/>
    <e v="#REF!"/>
    <m/>
    <m/>
    <m/>
    <n v="30"/>
    <n v="2"/>
    <m/>
    <m/>
    <m/>
    <m/>
    <m/>
    <x v="6"/>
    <n v="153"/>
    <n v="1"/>
    <n v="1"/>
  </r>
  <r>
    <m/>
    <s v="Oil Hazardous Substance Spill Response Tabletop Exercise (OHS TTX)"/>
    <s v="A-493-2501"/>
    <s v="05ZE"/>
    <s v="Annapolis, MD"/>
    <d v="2024-09-13T00:00:00"/>
    <d v="2024-09-13T00:00:00"/>
    <d v="1899-12-30T08:00:00"/>
    <m/>
    <m/>
    <m/>
    <m/>
    <m/>
    <m/>
    <s v="ENV Contractor"/>
    <m/>
    <e v="#REF!"/>
    <e v="#REF!"/>
    <m/>
    <m/>
    <m/>
    <n v="30"/>
    <n v="1"/>
    <m/>
    <m/>
    <m/>
    <m/>
    <m/>
    <x v="6"/>
    <n v="153"/>
    <n v="1"/>
    <n v="1"/>
  </r>
  <r>
    <m/>
    <s v="Oil Hazardous Substance Spill Response Tabletop Exercise (OHS TTX)"/>
    <s v="A-493-2501"/>
    <s v="05ZE"/>
    <s v="Coronado, CA"/>
    <d v="2024-09-13T00:00:00"/>
    <d v="2024-09-13T00:00:00"/>
    <d v="1899-12-30T08:00:00"/>
    <m/>
    <m/>
    <m/>
    <m/>
    <m/>
    <m/>
    <s v="ENV Contractor"/>
    <m/>
    <e v="#REF!"/>
    <e v="#REF!"/>
    <m/>
    <m/>
    <m/>
    <n v="30"/>
    <n v="1"/>
    <m/>
    <m/>
    <m/>
    <m/>
    <m/>
    <x v="6"/>
    <n v="153"/>
    <n v="1"/>
    <n v="1"/>
  </r>
  <r>
    <s v="Special for USMC"/>
    <s v="Facility Response Team (FRT) Five Day"/>
    <s v="A-493-0012"/>
    <n v="3682"/>
    <s v="Marine Corps Base Hawaii"/>
    <d v="2024-09-16T00:00:00"/>
    <d v="2024-09-20T00:00:00"/>
    <d v="1902-03-10T00:00:00"/>
    <m/>
    <m/>
    <m/>
    <m/>
    <m/>
    <m/>
    <s v="ENV Contractor"/>
    <m/>
    <m/>
    <m/>
    <m/>
    <m/>
    <m/>
    <n v="40"/>
    <n v="5"/>
    <m/>
    <m/>
    <m/>
    <m/>
    <m/>
    <x v="6"/>
    <n v="160"/>
    <n v="1"/>
    <n v="1"/>
  </r>
  <r>
    <s v="All Hands @0900"/>
    <s v="Command Function"/>
    <s v="NA"/>
    <s v="NA"/>
    <s v="Norfolk, VA Classroom 1"/>
    <d v="2024-09-16T00:00:00"/>
    <d v="2024-09-16T00:00:00"/>
    <d v="1899-12-30T09:00:00"/>
    <m/>
    <m/>
    <m/>
    <m/>
    <m/>
    <m/>
    <m/>
    <m/>
    <e v="#REF!"/>
    <e v="#REF!"/>
    <n v="0"/>
    <n v="0"/>
    <n v="0"/>
    <n v="0"/>
    <n v="0"/>
    <n v="0"/>
    <n v="0"/>
    <n v="0"/>
    <n v="0"/>
    <n v="0"/>
    <x v="5"/>
    <n v="156"/>
    <n v="0"/>
    <n v="1"/>
  </r>
  <r>
    <m/>
    <s v="Competent Person for Fall Protection Course (Resident)"/>
    <s v="A-493-0103"/>
    <s v="12JY"/>
    <s v="Coronado, CA"/>
    <d v="2024-09-16T00:00:00"/>
    <d v="2024-09-20T00:00:00"/>
    <d v="1899-12-30T08:00:00"/>
    <m/>
    <m/>
    <m/>
    <m/>
    <m/>
    <m/>
    <s v="SOH Contractor"/>
    <m/>
    <e v="#REF!"/>
    <e v="#REF!"/>
    <m/>
    <m/>
    <m/>
    <n v="25"/>
    <n v="5"/>
    <m/>
    <m/>
    <m/>
    <m/>
    <m/>
    <x v="6"/>
    <n v="160"/>
    <n v="1"/>
    <n v="1"/>
  </r>
  <r>
    <m/>
    <s v="Confined Space Safety"/>
    <s v="A-493-0030"/>
    <s v="286X"/>
    <s v="Crane, IN"/>
    <d v="2024-09-16T00:00:00"/>
    <d v="2024-09-20T00:00:00"/>
    <d v="1899-12-30T08:00:00"/>
    <m/>
    <m/>
    <m/>
    <m/>
    <m/>
    <m/>
    <s v="IH Contractor"/>
    <m/>
    <e v="#REF!"/>
    <e v="#REF!"/>
    <m/>
    <m/>
    <m/>
    <n v="25"/>
    <n v="5"/>
    <m/>
    <m/>
    <m/>
    <m/>
    <m/>
    <x v="6"/>
    <n v="160"/>
    <n v="1"/>
    <n v="1"/>
  </r>
  <r>
    <m/>
    <s v="Incident Command System 300 (ICS 300) Refresher"/>
    <s v="A-493-2301"/>
    <s v="05ZD"/>
    <s v="Pax River, MD"/>
    <d v="2024-09-16T00:00:00"/>
    <d v="2024-09-16T00:00:00"/>
    <d v="1899-12-30T08:00:00"/>
    <m/>
    <m/>
    <m/>
    <m/>
    <m/>
    <m/>
    <s v="ENV Contractor"/>
    <m/>
    <e v="#REF!"/>
    <e v="#REF!"/>
    <m/>
    <m/>
    <m/>
    <n v="30"/>
    <n v="1"/>
    <m/>
    <m/>
    <m/>
    <m/>
    <m/>
    <x v="6"/>
    <n v="156"/>
    <n v="1"/>
    <n v="1"/>
  </r>
  <r>
    <m/>
    <s v="Operational Risk Management Application &amp; Integration (Global Online)"/>
    <s v="A-570-0100"/>
    <s v="18B7"/>
    <s v="Global Online"/>
    <d v="2024-09-16T00:00:00"/>
    <d v="2024-09-19T00:00:00"/>
    <m/>
    <d v="1899-12-30T13:00:00"/>
    <d v="1899-12-30T10:00:00"/>
    <d v="1899-12-30T20:00:00"/>
    <d v="1899-12-30T18:00:00"/>
    <d v="1899-12-30T07:00:00"/>
    <d v="1899-12-30T02:00:00"/>
    <s v="BMC Sosaya"/>
    <m/>
    <e v="#REF!"/>
    <e v="#REF!"/>
    <m/>
    <m/>
    <m/>
    <n v="30"/>
    <n v="4"/>
    <m/>
    <m/>
    <m/>
    <m/>
    <m/>
    <x v="6"/>
    <n v="159"/>
    <n v="1"/>
    <n v="1"/>
  </r>
  <r>
    <m/>
    <s v="Introduction to Hazardous Materials [Ashore] (Global Online) "/>
    <s v="A-493-0331"/>
    <s v="10UG"/>
    <s v="Global Online"/>
    <d v="2024-09-17T00:00:00"/>
    <d v="2024-09-19T00:00:00"/>
    <m/>
    <d v="1899-12-30T12:00:00"/>
    <d v="1899-12-30T09:00:00"/>
    <d v="1899-12-30T19:00:00"/>
    <d v="1899-12-30T17:00:00"/>
    <d v="1899-12-30T06:00:00"/>
    <d v="1899-12-30T01:00:00"/>
    <s v="W. Mitchell"/>
    <m/>
    <e v="#REF!"/>
    <e v="#REF!"/>
    <m/>
    <m/>
    <m/>
    <n v="40"/>
    <n v="3"/>
    <m/>
    <m/>
    <m/>
    <m/>
    <m/>
    <x v="6"/>
    <n v="159"/>
    <n v="1"/>
    <n v="1"/>
  </r>
  <r>
    <m/>
    <s v="Oil Hazardous Substance Spill Response Tabletop Exercise (OHS TTX)"/>
    <s v="A-493-2501"/>
    <s v="05ZE"/>
    <s v="Pax River, MD"/>
    <d v="2024-09-17T00:00:00"/>
    <d v="2024-09-17T00:00:00"/>
    <d v="1899-12-30T08:00:00"/>
    <m/>
    <m/>
    <m/>
    <m/>
    <m/>
    <m/>
    <s v="ENV Contractor"/>
    <m/>
    <e v="#REF!"/>
    <e v="#REF!"/>
    <m/>
    <m/>
    <m/>
    <n v="30"/>
    <n v="1"/>
    <m/>
    <m/>
    <m/>
    <m/>
    <m/>
    <x v="6"/>
    <n v="157"/>
    <n v="1"/>
    <n v="1"/>
  </r>
  <r>
    <m/>
    <s v="Fire Protection and Life Safety"/>
    <s v="A-493-0075 "/>
    <s v="714U"/>
    <s v="San Diego, CA"/>
    <d v="2024-09-17T00:00:00"/>
    <d v="2024-09-20T00:00:00"/>
    <d v="1899-12-30T08:00:00"/>
    <m/>
    <m/>
    <m/>
    <m/>
    <m/>
    <m/>
    <s v="SOH Contractor"/>
    <m/>
    <e v="#REF!"/>
    <e v="#REF!"/>
    <m/>
    <m/>
    <m/>
    <n v="30"/>
    <n v="4"/>
    <m/>
    <m/>
    <m/>
    <m/>
    <m/>
    <x v="6"/>
    <n v="160"/>
    <n v="1"/>
    <n v="1"/>
  </r>
  <r>
    <m/>
    <s v="Industrial Noise"/>
    <s v="A-493-0092"/>
    <n v="5891"/>
    <s v="Norfolk, VA Classroom 1"/>
    <d v="2024-09-17T00:00:00"/>
    <d v="2024-09-19T00:00:00"/>
    <d v="1899-12-30T08:00:00"/>
    <m/>
    <m/>
    <m/>
    <m/>
    <m/>
    <m/>
    <s v="B. Jung"/>
    <s v="A. Harris"/>
    <e v="#REF!"/>
    <e v="#REF!"/>
    <m/>
    <m/>
    <m/>
    <n v="25"/>
    <n v="3"/>
    <m/>
    <m/>
    <m/>
    <m/>
    <m/>
    <x v="6"/>
    <n v="159"/>
    <n v="1"/>
    <n v="1"/>
  </r>
  <r>
    <s v="Barking Sands"/>
    <s v="Facility Response Team (FRT) Three Day"/>
    <s v="A-493-0013"/>
    <n v="3683"/>
    <s v="Pearl Harbor, HI"/>
    <d v="2024-09-18T00:00:00"/>
    <d v="2024-09-20T00:00:00"/>
    <d v="1899-12-30T08:00:00"/>
    <m/>
    <m/>
    <m/>
    <m/>
    <m/>
    <m/>
    <s v="ENV Contractor"/>
    <m/>
    <e v="#REF!"/>
    <e v="#REF!"/>
    <m/>
    <m/>
    <m/>
    <n v="40"/>
    <n v="3"/>
    <m/>
    <m/>
    <m/>
    <m/>
    <m/>
    <x v="6"/>
    <n v="160"/>
    <n v="1"/>
    <n v="1"/>
  </r>
  <r>
    <m/>
    <s v="Incident Command System 300 (ICS 300) Refresher"/>
    <s v="A-493-2301"/>
    <s v="05ZD"/>
    <s v="Indian Head, MD"/>
    <d v="2024-09-18T00:00:00"/>
    <d v="2024-09-18T00:00:00"/>
    <d v="1899-12-30T08:00:00"/>
    <m/>
    <m/>
    <m/>
    <m/>
    <m/>
    <m/>
    <s v="ENV Contractor"/>
    <m/>
    <e v="#REF!"/>
    <e v="#REF!"/>
    <m/>
    <m/>
    <m/>
    <n v="30"/>
    <n v="1"/>
    <m/>
    <m/>
    <m/>
    <m/>
    <m/>
    <x v="6"/>
    <n v="158"/>
    <n v="1"/>
    <n v="1"/>
  </r>
  <r>
    <m/>
    <s v="Oil Hazardous Substance Spill Response Tabletop Exercise (OHS TTX)"/>
    <s v="A-493-2501"/>
    <s v="05ZE"/>
    <s v="Indian Head, MD"/>
    <d v="2024-09-19T00:00:00"/>
    <d v="2024-09-19T00:00:00"/>
    <d v="1899-12-30T08:00:00"/>
    <m/>
    <m/>
    <m/>
    <m/>
    <m/>
    <m/>
    <s v="ENV Contractor"/>
    <m/>
    <m/>
    <m/>
    <m/>
    <m/>
    <m/>
    <n v="30"/>
    <n v="1"/>
    <m/>
    <m/>
    <m/>
    <m/>
    <m/>
    <x v="6"/>
    <n v="159"/>
    <n v="1"/>
    <n v="1"/>
  </r>
  <r>
    <m/>
    <s v="Afloat Environmental Protection Coordinator (Global Online) "/>
    <s v="A-4J-0022"/>
    <s v="09ER"/>
    <s v="Global Online"/>
    <d v="2024-09-23T00:00:00"/>
    <d v="2024-09-27T00:00:00"/>
    <m/>
    <d v="1899-12-30T13:00:00"/>
    <d v="1899-12-30T10:00:00"/>
    <d v="1899-12-30T20:00:00"/>
    <d v="1899-12-30T18:00:00"/>
    <d v="1899-12-30T07:00:00"/>
    <d v="1899-12-30T02:00:00"/>
    <s v="BMC Sosaya"/>
    <m/>
    <e v="#REF!"/>
    <e v="#REF!"/>
    <m/>
    <m/>
    <m/>
    <n v="45"/>
    <n v="5"/>
    <m/>
    <m/>
    <m/>
    <m/>
    <m/>
    <x v="6"/>
    <n v="167"/>
    <n v="1"/>
    <n v="1"/>
  </r>
  <r>
    <m/>
    <s v="Competent Person for Fall Protection Course (Resident)"/>
    <s v="A-493-0103"/>
    <s v="12JY"/>
    <s v="Norfolk, VA Classroom 2"/>
    <d v="2024-09-23T00:00:00"/>
    <d v="2024-09-27T00:00:00"/>
    <d v="1899-12-30T08:00:00"/>
    <m/>
    <m/>
    <m/>
    <m/>
    <m/>
    <m/>
    <s v="SOH Contractor"/>
    <m/>
    <e v="#REF!"/>
    <e v="#REF!"/>
    <m/>
    <m/>
    <m/>
    <n v="25"/>
    <n v="5"/>
    <m/>
    <m/>
    <m/>
    <m/>
    <m/>
    <x v="6"/>
    <n v="167"/>
    <n v="1"/>
    <n v="1"/>
  </r>
  <r>
    <m/>
    <s v="General Industry Safety Standards (Global Online) "/>
    <s v="A-493-0061"/>
    <s v="288E"/>
    <s v="Global Online"/>
    <d v="2024-09-23T00:00:00"/>
    <d v="2024-09-27T00:00:00"/>
    <m/>
    <d v="1899-12-30T08:00:00"/>
    <d v="1899-12-30T05:00:00"/>
    <d v="1899-12-30T15:00:00"/>
    <d v="1899-12-30T13:00:00"/>
    <d v="1899-12-30T02:00:00"/>
    <d v="1899-12-30T21:00:00"/>
    <s v="S. Griffin"/>
    <m/>
    <e v="#REF!"/>
    <e v="#REF!"/>
    <m/>
    <m/>
    <m/>
    <n v="45"/>
    <n v="5"/>
    <m/>
    <m/>
    <m/>
    <m/>
    <m/>
    <x v="6"/>
    <n v="167"/>
    <n v="1"/>
    <n v="1"/>
  </r>
  <r>
    <m/>
    <s v="Hazardous Material Control and Management [HMC&amp;M] Technician (Global Online)"/>
    <s v="A-322-2604"/>
    <s v="10ZZ"/>
    <s v="Global Online"/>
    <d v="2024-09-23T00:00:00"/>
    <d v="2024-09-27T00:00:00"/>
    <m/>
    <d v="1899-12-30T13:00:00"/>
    <d v="1899-12-30T10:00:00"/>
    <d v="1899-12-30T20:00:00"/>
    <d v="1899-12-30T18:00:00"/>
    <d v="1899-12-30T07:00:00"/>
    <d v="1899-12-30T02:00:00"/>
    <s v="TBD"/>
    <m/>
    <e v="#REF!"/>
    <e v="#REF!"/>
    <m/>
    <m/>
    <m/>
    <n v="45"/>
    <n v="5"/>
    <m/>
    <m/>
    <m/>
    <m/>
    <m/>
    <x v="6"/>
    <n v="167"/>
    <n v="1"/>
    <n v="1"/>
  </r>
  <r>
    <m/>
    <s v="Incident Command System 300 (ICS 300) Refresher"/>
    <s v="A-493-2301"/>
    <s v="05ZD"/>
    <s v="Newport, RI"/>
    <d v="2024-09-23T00:00:00"/>
    <d v="2024-09-23T00:00:00"/>
    <d v="1899-12-30T08:00:00"/>
    <m/>
    <m/>
    <m/>
    <m/>
    <m/>
    <m/>
    <s v="ENV Contractor"/>
    <m/>
    <e v="#REF!"/>
    <e v="#REF!"/>
    <m/>
    <m/>
    <m/>
    <n v="30"/>
    <n v="1"/>
    <m/>
    <m/>
    <m/>
    <m/>
    <m/>
    <x v="6"/>
    <n v="163"/>
    <n v="1"/>
    <n v="1"/>
  </r>
  <r>
    <m/>
    <s v="Introduction to Industrial Hygiene for Safety Professionals (Global Online) "/>
    <s v="A-493-0335"/>
    <s v="09ND"/>
    <s v="Global Online"/>
    <d v="2024-09-23T00:00:00"/>
    <d v="2024-09-26T00:00:00"/>
    <m/>
    <d v="1899-12-30T18:00:00"/>
    <d v="1899-12-30T15:00:00"/>
    <d v="1899-12-30T01:00:00"/>
    <d v="1899-12-30T23:00:00"/>
    <d v="1899-12-30T12:00:00"/>
    <d v="1899-12-30T07:00:00"/>
    <s v="W. Mitchell"/>
    <m/>
    <e v="#REF!"/>
    <e v="#REF!"/>
    <m/>
    <m/>
    <m/>
    <n v="30"/>
    <n v="4"/>
    <m/>
    <m/>
    <m/>
    <m/>
    <m/>
    <x v="6"/>
    <n v="166"/>
    <n v="1"/>
    <n v="1"/>
  </r>
  <r>
    <m/>
    <s v="Introduction to Naval Safety and Occupational Health (Global Online) "/>
    <s v="A-493-0550"/>
    <s v="09K5"/>
    <s v="Global Online"/>
    <d v="2024-09-23T00:00:00"/>
    <d v="2024-09-27T00:00:00"/>
    <m/>
    <d v="1899-12-30T08:00:00"/>
    <d v="1899-12-30T05:00:00"/>
    <d v="1899-12-30T15:00:00"/>
    <d v="1899-12-30T13:00:00"/>
    <d v="1899-12-30T02:00:00"/>
    <d v="1899-12-30T21:00:00"/>
    <s v="D. Rodriguez"/>
    <m/>
    <e v="#REF!"/>
    <e v="#REF!"/>
    <m/>
    <m/>
    <m/>
    <n v="45"/>
    <n v="4"/>
    <m/>
    <m/>
    <m/>
    <m/>
    <m/>
    <x v="6"/>
    <n v="167"/>
    <n v="1"/>
    <n v="1"/>
  </r>
  <r>
    <m/>
    <s v="Mishap Investigation (Global Online) "/>
    <s v="A-493-0078"/>
    <n v="1228"/>
    <s v="Global Online"/>
    <d v="2024-09-23T00:00:00"/>
    <d v="2024-09-27T00:00:00"/>
    <m/>
    <d v="1899-12-30T08:00:00"/>
    <d v="1899-12-30T05:00:00"/>
    <d v="1899-12-30T15:00:00"/>
    <d v="1899-12-30T13:00:00"/>
    <d v="1899-12-30T02:00:00"/>
    <d v="1899-12-30T21:00:00"/>
    <s v="T. White"/>
    <m/>
    <e v="#REF!"/>
    <e v="#REF!"/>
    <m/>
    <m/>
    <m/>
    <n v="45"/>
    <n v="5"/>
    <m/>
    <m/>
    <m/>
    <m/>
    <m/>
    <x v="6"/>
    <n v="167"/>
    <n v="1"/>
    <n v="1"/>
  </r>
  <r>
    <m/>
    <s v="Safety Programs Afloat (Global Online) "/>
    <s v="A-493-2098"/>
    <s v="09WW"/>
    <s v="Global Online"/>
    <d v="2024-09-23T00:00:00"/>
    <d v="2024-09-27T00:00:00"/>
    <m/>
    <d v="1899-12-30T13:00:00"/>
    <d v="1899-12-30T10:00:00"/>
    <d v="1899-12-30T20:00:00"/>
    <d v="1899-12-30T18:00:00"/>
    <d v="1899-12-30T07:00:00"/>
    <d v="1899-12-30T02:00:00"/>
    <s v="TBD"/>
    <m/>
    <e v="#REF!"/>
    <e v="#REF!"/>
    <m/>
    <m/>
    <m/>
    <n v="100"/>
    <n v="5"/>
    <m/>
    <m/>
    <m/>
    <m/>
    <m/>
    <x v="6"/>
    <n v="167"/>
    <n v="1"/>
    <n v="1"/>
  </r>
  <r>
    <m/>
    <s v="Construction Safety Standards"/>
    <s v="A-493-0021"/>
    <s v="18BN"/>
    <s v="Norfolk, VA Classroom 1"/>
    <d v="2024-09-23T00:00:00"/>
    <d v="2024-09-27T00:00:00"/>
    <d v="1899-12-30T08:00:00"/>
    <m/>
    <m/>
    <m/>
    <m/>
    <m/>
    <m/>
    <s v="SOH Contractor"/>
    <m/>
    <m/>
    <m/>
    <m/>
    <m/>
    <m/>
    <n v="35"/>
    <n v="5"/>
    <m/>
    <m/>
    <m/>
    <m/>
    <m/>
    <x v="6"/>
    <n v="167"/>
    <n v="1"/>
    <n v="1"/>
  </r>
  <r>
    <m/>
    <s v="Oil Hazardous Substance Spill Response Tabletop Exercise (OHS TTX)"/>
    <s v="A-493-2501"/>
    <s v="05ZE"/>
    <s v="Newport, RI"/>
    <d v="2024-09-24T00:00:00"/>
    <d v="2024-09-24T00:00:00"/>
    <d v="1899-12-30T08:00:00"/>
    <m/>
    <m/>
    <m/>
    <m/>
    <m/>
    <m/>
    <s v="ENV Contractor"/>
    <m/>
    <m/>
    <m/>
    <m/>
    <m/>
    <m/>
    <n v="30"/>
    <n v="1"/>
    <m/>
    <m/>
    <m/>
    <m/>
    <m/>
    <x v="6"/>
    <n v="164"/>
    <n v="1"/>
    <n v="1"/>
  </r>
  <r>
    <m/>
    <s v="Fall Protection Program Manager Course (Global Online)"/>
    <s v="A-493-0099"/>
    <s v="12JW"/>
    <s v="Global Online"/>
    <d v="2024-09-24T00:00:00"/>
    <d v="2024-09-26T00:00:00"/>
    <m/>
    <d v="1899-12-30T07:00:00"/>
    <d v="1899-12-30T04:00:00"/>
    <d v="1899-12-30T14:00:00"/>
    <d v="1899-12-30T12:00:00"/>
    <d v="1899-12-30T01:00:00"/>
    <d v="1899-12-30T20:00:00"/>
    <s v="V. Kentish"/>
    <m/>
    <e v="#REF!"/>
    <e v="#REF!"/>
    <m/>
    <m/>
    <m/>
    <n v="45"/>
    <n v="3"/>
    <m/>
    <m/>
    <m/>
    <m/>
    <m/>
    <x v="6"/>
    <n v="166"/>
    <n v="1"/>
    <n v="1"/>
  </r>
  <r>
    <m/>
    <s v="Machinery and Machine Guarding Standards (Global Online) "/>
    <s v="A-493-0073"/>
    <s v="714S"/>
    <s v="Global Online"/>
    <d v="2024-09-24T00:00:00"/>
    <d v="2024-09-27T00:00:00"/>
    <m/>
    <d v="1899-12-30T08:00:00"/>
    <d v="1899-12-30T05:00:00"/>
    <d v="1899-12-30T15:00:00"/>
    <d v="1899-12-30T13:00:00"/>
    <d v="1899-12-30T02:00:00"/>
    <d v="1899-12-30T21:00:00"/>
    <s v="SOH Contractor"/>
    <m/>
    <e v="#REF!"/>
    <e v="#REF!"/>
    <m/>
    <m/>
    <m/>
    <n v="30"/>
    <n v="4"/>
    <m/>
    <m/>
    <m/>
    <m/>
    <m/>
    <x v="6"/>
    <n v="167"/>
    <n v="1"/>
    <n v="1"/>
  </r>
  <r>
    <s v="SMT Special Convening for USMC"/>
    <s v="Facility Response Team (FRT) Three Day"/>
    <s v="A-493-0013"/>
    <n v="3683"/>
    <s v="Camp Pendleton, CA"/>
    <d v="2024-09-24T00:00:00"/>
    <d v="2024-09-25T00:00:00"/>
    <d v="1899-12-30T08:00:00"/>
    <m/>
    <m/>
    <m/>
    <m/>
    <m/>
    <m/>
    <s v="ENV Contractor"/>
    <m/>
    <m/>
    <m/>
    <m/>
    <m/>
    <m/>
    <n v="40"/>
    <n v="2"/>
    <m/>
    <m/>
    <m/>
    <m/>
    <m/>
    <x v="6"/>
    <n v="165"/>
    <n v="1"/>
    <n v="1"/>
  </r>
  <r>
    <m/>
    <s v="Oil Hazardous Substance Spill Response Tabletop Exercise (OHS TTX)"/>
    <s v="A-493-2501"/>
    <s v="05ZE"/>
    <s v="Groton, CT"/>
    <d v="2024-09-25T00:00:00"/>
    <d v="2024-09-25T00:00:00"/>
    <d v="1899-12-30T08:00:00"/>
    <m/>
    <m/>
    <m/>
    <m/>
    <m/>
    <m/>
    <s v="ENV Contractor"/>
    <m/>
    <m/>
    <m/>
    <m/>
    <m/>
    <m/>
    <n v="30"/>
    <n v="1"/>
    <m/>
    <m/>
    <m/>
    <m/>
    <m/>
    <x v="6"/>
    <n v="165"/>
    <n v="1"/>
    <n v="1"/>
  </r>
  <r>
    <m/>
    <s v="Incident Command System 300 (ICS 300) Refresher"/>
    <s v="A-493-2301"/>
    <s v="05ZD"/>
    <s v="Pearl Harbor, HI"/>
    <d v="2024-09-25T00:00:00"/>
    <d v="2024-09-25T00:00:00"/>
    <d v="1899-12-30T08:00:00"/>
    <m/>
    <m/>
    <m/>
    <m/>
    <m/>
    <m/>
    <s v="ENV Contractor"/>
    <m/>
    <e v="#REF!"/>
    <e v="#REF!"/>
    <m/>
    <m/>
    <m/>
    <n v="30"/>
    <n v="1"/>
    <m/>
    <m/>
    <m/>
    <m/>
    <m/>
    <x v="6"/>
    <n v="165"/>
    <n v="1"/>
    <n v="1"/>
  </r>
  <r>
    <m/>
    <s v="Oil Hazardous Substance Spill Response Tabletop Exercise (OHS TTX)"/>
    <s v="A-493-2501"/>
    <s v="05ZE"/>
    <s v="Lemoore, CA"/>
    <d v="2024-09-26T00:00:00"/>
    <d v="2024-09-26T00:00:00"/>
    <d v="1899-12-30T08:00:00"/>
    <m/>
    <m/>
    <m/>
    <m/>
    <m/>
    <m/>
    <s v="ENV Contractor"/>
    <m/>
    <e v="#REF!"/>
    <e v="#REF!"/>
    <m/>
    <m/>
    <m/>
    <n v="30"/>
    <n v="1"/>
    <m/>
    <m/>
    <m/>
    <m/>
    <m/>
    <x v="6"/>
    <n v="166"/>
    <n v="1"/>
    <n v="1"/>
  </r>
  <r>
    <m/>
    <s v="Incident Command System 300 (ICS 300) Refresher"/>
    <s v="A-493-2301"/>
    <s v="05ZD"/>
    <s v="Portsmouth, NH"/>
    <d v="2024-09-26T00:00:00"/>
    <d v="2024-09-26T00:00:00"/>
    <d v="1899-12-30T08:00:00"/>
    <m/>
    <m/>
    <m/>
    <m/>
    <m/>
    <m/>
    <s v="ENV Contractor"/>
    <m/>
    <e v="#REF!"/>
    <e v="#REF!"/>
    <m/>
    <m/>
    <m/>
    <n v="30"/>
    <n v="1"/>
    <m/>
    <m/>
    <m/>
    <m/>
    <m/>
    <x v="6"/>
    <n v="166"/>
    <n v="1"/>
    <n v="1"/>
  </r>
  <r>
    <m/>
    <s v="Incident Command System 400 (ICS 400)"/>
    <s v="A-493-0216"/>
    <s v="12X8"/>
    <s v="Pearl Harbor, HI"/>
    <d v="2024-09-26T00:00:00"/>
    <d v="2024-09-26T00:00:00"/>
    <d v="1899-12-30T08:00:00"/>
    <m/>
    <m/>
    <m/>
    <m/>
    <m/>
    <m/>
    <s v="ENV Contractor"/>
    <m/>
    <e v="#REF!"/>
    <e v="#REF!"/>
    <m/>
    <m/>
    <m/>
    <n v="30"/>
    <n v="1"/>
    <m/>
    <m/>
    <m/>
    <m/>
    <m/>
    <x v="6"/>
    <n v="166"/>
    <n v="1"/>
    <n v="1"/>
  </r>
  <r>
    <m/>
    <s v="Oil Hazardous Substance Spill Response Tabletop Exercise (OHS TTX)"/>
    <s v="A-493-2501"/>
    <s v="05ZE"/>
    <s v="Portsmouth, NH"/>
    <d v="2024-09-27T00:00:00"/>
    <d v="2024-09-27T00:00:00"/>
    <d v="1899-12-30T08:00:00"/>
    <m/>
    <m/>
    <m/>
    <m/>
    <m/>
    <m/>
    <s v="ENV Contractor"/>
    <m/>
    <m/>
    <m/>
    <m/>
    <m/>
    <m/>
    <n v="30"/>
    <n v="1"/>
    <m/>
    <m/>
    <m/>
    <m/>
    <m/>
    <x v="6"/>
    <n v="167"/>
    <n v="1"/>
    <n v="1"/>
  </r>
  <r>
    <m/>
    <m/>
    <e v="#N/A"/>
    <e v="#N/A"/>
    <m/>
    <m/>
    <m/>
    <m/>
    <m/>
    <m/>
    <m/>
    <m/>
    <m/>
    <m/>
    <m/>
    <m/>
    <m/>
    <m/>
    <m/>
    <m/>
    <m/>
    <m/>
    <m/>
    <m/>
    <m/>
    <m/>
    <m/>
    <m/>
    <x v="6"/>
    <n v="-45395"/>
    <n v="1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C00-000000000000}" name="PivotTable1" cacheId="0" applyNumberFormats="0" applyBorderFormats="0" applyFontFormats="0" applyPatternFormats="0" applyAlignmentFormats="0" applyWidthHeightFormats="1" dataCaption="Values" updatedVersion="8" minRefreshableVersion="3" useAutoFormatting="1" itemPrintTitles="1" createdVersion="6" indent="0" outline="1" outlineData="1" multipleFieldFilters="0">
  <location ref="A3:D4" firstHeaderRow="0" firstDataRow="1" firstDataCol="0" rowPageCount="1" colPageCount="1"/>
  <pivotFields count="32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numFmtId="1" showAll="0"/>
    <pivotField showAll="0"/>
    <pivotField dataField="1" showAll="0"/>
    <pivotField dataField="1" showAll="0"/>
    <pivotField dataField="1" showAll="0"/>
    <pivotField showAll="0"/>
    <pivotField showAll="0"/>
    <pivotField axis="axisPage" multipleItemSelectionAllowed="1" showAll="0">
      <items count="12">
        <item x="4"/>
        <item x="5"/>
        <item m="1" x="8"/>
        <item x="2"/>
        <item h="1" x="6"/>
        <item x="3"/>
        <item m="1" x="10"/>
        <item m="1" x="9"/>
        <item x="0"/>
        <item x="1"/>
        <item h="1" x="7"/>
        <item t="default"/>
      </items>
    </pivotField>
    <pivotField showAll="0"/>
    <pivotField showAll="0"/>
    <pivotField showAll="0"/>
  </pivotFields>
  <rowItems count="1">
    <i/>
  </rowItems>
  <colFields count="1">
    <field x="-2"/>
  </colFields>
  <colItems count="4">
    <i>
      <x/>
    </i>
    <i i="1">
      <x v="1"/>
    </i>
    <i i="2">
      <x v="2"/>
    </i>
    <i i="3">
      <x v="3"/>
    </i>
  </colItems>
  <pageFields count="1">
    <pageField fld="28" hier="-1"/>
  </pageFields>
  <dataFields count="4">
    <dataField name="Sum of Quotas" fld="21" baseField="0" baseItem="0"/>
    <dataField name="Sum of Graduates" fld="23" baseField="0" baseItem="0"/>
    <dataField name="Sum of Fail" fld="24" baseField="0" baseItem="0"/>
    <dataField name="Sum of No Shows" fld="25" baseField="0" baseItem="0"/>
  </dataFields>
  <formats count="1">
    <format dxfId="980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1000000}" name="Table7" displayName="Table7" ref="A43:F53" totalsRowCount="1" tableBorderDxfId="1084">
  <autoFilter ref="A43:F52" xr:uid="{00000000-0009-0000-0100-000007000000}"/>
  <sortState xmlns:xlrd2="http://schemas.microsoft.com/office/spreadsheetml/2017/richdata2" ref="A42:D50">
    <sortCondition ref="D41:D50"/>
  </sortState>
  <tableColumns count="6">
    <tableColumn id="1" xr3:uid="{00000000-0010-0000-0100-000001000000}" name="Courses Needed (Inactive Courses)" totalsRowLabel="Total" dataDxfId="1083" totalsRowDxfId="1082"/>
    <tableColumn id="2" xr3:uid="{00000000-0010-0000-0100-000002000000}" name="Column1" dataDxfId="1081" totalsRowDxfId="1080"/>
    <tableColumn id="3" xr3:uid="{00000000-0010-0000-0100-000003000000}" name="Department" dataDxfId="1079" totalsRowDxfId="1078"/>
    <tableColumn id="4" xr3:uid="{00000000-0010-0000-0100-000004000000}" name="Quota Need" totalsRowFunction="sum" dataDxfId="1077" totalsRowDxfId="1076"/>
    <tableColumn id="5" xr3:uid="{00000000-0010-0000-0100-000005000000}" name="Column2" dataDxfId="1075"/>
    <tableColumn id="6" xr3:uid="{00000000-0010-0000-0100-000006000000}" name="Active Online" dataDxfId="1074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2000000}" name="Table57" displayName="Table57" ref="A1:E20" totalsRowShown="0" headerRowDxfId="1073" dataDxfId="1071" headerRowBorderDxfId="1072" tableBorderDxfId="1070">
  <autoFilter ref="A1:E20" xr:uid="{00000000-0009-0000-0100-000006000000}"/>
  <sortState xmlns:xlrd2="http://schemas.microsoft.com/office/spreadsheetml/2017/richdata2" ref="A2:E20">
    <sortCondition descending="1" ref="E1:E20"/>
  </sortState>
  <tableColumns count="5">
    <tableColumn id="1" xr3:uid="{00000000-0010-0000-0200-000001000000}" name="Instructor"/>
    <tableColumn id="2" xr3:uid="{00000000-0010-0000-0200-000002000000}" name="Primary Instructor" dataDxfId="1069">
      <calculatedColumnFormula>SUMIF(#REF!,Table57[[#This Row],[Instructor]],Table2[Course Length (Days)])</calculatedColumnFormula>
    </tableColumn>
    <tableColumn id="3" xr3:uid="{00000000-0010-0000-0200-000003000000}" name="Instructor 2" dataDxfId="1068">
      <calculatedColumnFormula>SUMIF(#REF!,Table57[[#This Row],[Instructor]],Table2[Course Length (Days)])</calculatedColumnFormula>
    </tableColumn>
    <tableColumn id="4" xr3:uid="{00000000-0010-0000-0200-000004000000}" name="Total" dataDxfId="1067"/>
    <tableColumn id="5" xr3:uid="{00000000-0010-0000-0200-000005000000}" name="Percentage in Classroom" dataDxfId="1066">
      <calculatedColumnFormula>SUM(D2/249)</calculatedColumnFormula>
    </tableColumn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3000000}" name="Table5" displayName="Table5" ref="A1:E20" totalsRowShown="0" headerRowDxfId="1065" dataDxfId="1063" headerRowBorderDxfId="1064" tableBorderDxfId="1062">
  <autoFilter ref="A1:E20" xr:uid="{00000000-0009-0000-0100-000005000000}"/>
  <sortState xmlns:xlrd2="http://schemas.microsoft.com/office/spreadsheetml/2017/richdata2" ref="A2:E20">
    <sortCondition descending="1" ref="E1:E20"/>
  </sortState>
  <tableColumns count="5">
    <tableColumn id="1" xr3:uid="{00000000-0010-0000-0300-000001000000}" name="Instructor"/>
    <tableColumn id="2" xr3:uid="{00000000-0010-0000-0300-000002000000}" name="Primary Instructor" dataDxfId="1061">
      <calculatedColumnFormula>COUNTIF(#REF!,Table5[[#This Row],[Instructor]])</calculatedColumnFormula>
    </tableColumn>
    <tableColumn id="3" xr3:uid="{00000000-0010-0000-0300-000003000000}" name="Instructor 2" dataDxfId="1060">
      <calculatedColumnFormula>COUNTIF(#REF!,Table5[[#This Row],[Instructor]])</calculatedColumnFormula>
    </tableColumn>
    <tableColumn id="4" xr3:uid="{00000000-0010-0000-0300-000004000000}" name="Total" dataDxfId="1059"/>
    <tableColumn id="5" xr3:uid="{00000000-0010-0000-0300-000005000000}" name="Percentage in Classroom" dataDxfId="1058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0000000}" name="Table311" displayName="Table311" ref="B4:Y40" headerRowDxfId="1057" dataDxfId="1056" totalsRowDxfId="1054" tableBorderDxfId="1055" totalsRowBorderDxfId="1053">
  <autoFilter ref="B4:Y40" xr:uid="{00000000-0009-0000-0100-00000A000000}"/>
  <sortState xmlns:xlrd2="http://schemas.microsoft.com/office/spreadsheetml/2017/richdata2" ref="B5:Y40">
    <sortCondition ref="B4:B40"/>
  </sortState>
  <tableColumns count="24">
    <tableColumn id="1" xr3:uid="{00000000-0010-0000-0000-000001000000}" name="Courses - Planned vs Need (Active Courses)" totalsRowLabel="Total" dataDxfId="1052" totalsRowDxfId="1051"/>
    <tableColumn id="2" xr3:uid="{00000000-0010-0000-0000-000002000000}" name="CTR" dataDxfId="1050" totalsRowDxfId="1049"/>
    <tableColumn id="3" xr3:uid="{00000000-0010-0000-0000-000003000000}" name="Dept" dataDxfId="1048" totalsRowDxfId="1047"/>
    <tableColumn id="4" xr3:uid="{00000000-0010-0000-0000-000004000000}" name="Course Offerings" totalsRowFunction="sum" dataDxfId="1046" totalsRowDxfId="1045">
      <calculatedColumnFormula>COUNTIF(Table2[Course Title],Table311[[#This Row],[Courses - Planned vs Need (Active Courses)]])</calculatedColumnFormula>
    </tableColumn>
    <tableColumn id="5" xr3:uid="{00000000-0010-0000-0000-000005000000}" name="Quota per Offering" totalsRowFunction="sum" dataDxfId="1044" totalsRowDxfId="1043"/>
    <tableColumn id="6" xr3:uid="{00000000-0010-0000-0000-000006000000}" name="Planned Quotas" totalsRowFunction="sum" dataDxfId="1042" totalsRowDxfId="1041">
      <calculatedColumnFormula>Table311[[#This Row],[Course Offerings]]*Table311[[#This Row],[Quota per Offering]]</calculatedColumnFormula>
    </tableColumn>
    <tableColumn id="7" xr3:uid="{00000000-0010-0000-0000-000007000000}" name="Fleet Quota Need" totalsRowFunction="sum" dataDxfId="1040"/>
    <tableColumn id="8" xr3:uid="{00000000-0010-0000-0000-000008000000}" name="Difference" totalsRowFunction="sum" dataDxfId="1039" totalsRowDxfId="1038">
      <calculatedColumnFormula>SUM(G5-H5)</calculatedColumnFormula>
    </tableColumn>
    <tableColumn id="9" xr3:uid="{00000000-0010-0000-0000-000009000000}" name="%" totalsRowFunction="average" dataDxfId="1037" totalsRowDxfId="1036" dataCellStyle="Percent">
      <calculatedColumnFormula>SUM(G5/H5)</calculatedColumnFormula>
    </tableColumn>
    <tableColumn id="10" xr3:uid="{00000000-0010-0000-0000-00000A000000}" name="Total Grads" totalsRowFunction="sum" dataDxfId="1035" totalsRowDxfId="1034">
      <calculatedColumnFormula>SUMIF(Table2[Course Title],Table311[[#This Row],[Courses - Planned vs Need (Active Courses)]],Table2[Graduates])</calculatedColumnFormula>
    </tableColumn>
    <tableColumn id="11" xr3:uid="{00000000-0010-0000-0000-00000B000000}" name="No Shows" totalsRowFunction="sum" dataDxfId="1033">
      <calculatedColumnFormula>SUMIF(Table2[Course Title],Table311[[#This Row],[Courses - Planned vs Need (Active Courses)]],Table2[No Shows])</calculatedColumnFormula>
    </tableColumn>
    <tableColumn id="12" xr3:uid="{00000000-0010-0000-0000-00000C000000}" name="To date quotas unused (Open quotas+ no shows)" totalsRowFunction="sum" dataDxfId="1032">
      <calculatedColumnFormula>SUMIFS(Table2[Quotas],Table2[Course Title],Table311[[#This Row],[Courses - Planned vs Need (Active Courses)]],Table2[Roster Status],0)-SUMIFS(Table2[Graduates],Table2[Course Title],Table311[[#This Row],[Courses - Planned vs Need (Active Courses)]],Table2[Roster Status],0)-SUMIFS(Table2[Fail],Table2[Course Title],Table311[[#This Row],[Courses - Planned vs Need (Active Courses)]],Table2[Roster Status],0)+Table311[[#This Row],[No Shows]]</calculatedColumnFormula>
    </tableColumn>
    <tableColumn id="20" xr3:uid="{00000000-0010-0000-0000-000014000000}" name="Sunk Courses due to unused quotas todate" dataDxfId="1031">
      <calculatedColumnFormula>ROUNDDOWN(Table311[[#This Row],[To date quotas unused (Open quotas+ no shows)]]/Table311[[#This Row],[Quota per Offering]],0)</calculatedColumnFormula>
    </tableColumn>
    <tableColumn id="13" xr3:uid="{00000000-0010-0000-0000-00000D000000}" name="Grads needed this FY towards planned quotas" totalsRowFunction="sum" dataDxfId="1030" totalsRowDxfId="1029">
      <calculatedColumnFormula>SUM(G5-K5)</calculatedColumnFormula>
    </tableColumn>
    <tableColumn id="14" xr3:uid="{00000000-0010-0000-0000-00000E000000}" name="# of course completion reports to be processed" totalsRowFunction="sum" dataDxfId="1028" totalsRowDxfId="1027">
      <calculatedColumnFormula>COUNTIFS(Table2[Course Title],Table311[[#This Row],[Courses - Planned vs Need (Active Courses)]],Table2[Roster Status],"1",Table2[Remaining Courses],"0")</calculatedColumnFormula>
    </tableColumn>
    <tableColumn id="15" xr3:uid="{00000000-0010-0000-0000-00000F000000}" name="# of courses remaining" totalsRowFunction="sum" dataDxfId="1026" totalsRowDxfId="1025">
      <calculatedColumnFormula>COUNTIFS(Table2[Course Title],Table311[[#This Row],[Courses - Planned vs Need (Active Courses)]],Table2[Remaining Courses],"1")</calculatedColumnFormula>
    </tableColumn>
    <tableColumn id="16" xr3:uid="{00000000-0010-0000-0000-000010000000}" name="To date % of graduates towards Fleet Need" totalsRowFunction="average" dataDxfId="1024" totalsRowDxfId="1023" dataCellStyle="Percent">
      <calculatedColumnFormula>SUM(K5/H5)</calculatedColumnFormula>
    </tableColumn>
    <tableColumn id="23" xr3:uid="{00000000-0010-0000-0000-000017000000}" name="% of available quotas used" totalsRowFunction="custom" dataDxfId="1022" totalsRowDxfId="1021" dataCellStyle="Percent">
      <calculatedColumnFormula>IFERROR((Table311[[#This Row],[Quota per Offering]]*(Table311[[#This Row],[Course Offerings]]-Table311[[#This Row],['# of course completion reports to be processed]]-Table311[[#This Row],['# of courses remaining]])-Table311[[#This Row],[To date quotas unused (Open quotas+ no shows)]])/(Table311[[#This Row],[Quota per Offering]]*(Table311[[#This Row],[Course Offerings]]-Table311[[#This Row],['# of course completion reports to be processed]]-Table311[[#This Row],['# of courses remaining]])),0)</calculatedColumnFormula>
      <totalsRowFormula>IFERROR((Table311[[#This Row],[Total Grads]]/((Table311[[#This Row],[Course Offerings]]-Table311[[#This Row],['# of course completion reports to be processed]]-Table311[[#This Row],['# of courses remaining]])*Table311[[#This Row],[Quota per Offering]])),0)</totalsRowFormula>
    </tableColumn>
    <tableColumn id="21" xr3:uid="{00000000-0010-0000-0000-000015000000}" name="% of available quotas used counting in no shows" dataDxfId="1020" totalsRowDxfId="1019" dataCellStyle="Percent">
      <calculatedColumnFormula>IFERROR((Table311[[#This Row],[Quota per Offering]]*(Table311[[#This Row],[Course Offerings]]-Table311[[#This Row],['# of course completion reports to be processed]]-Table311[[#This Row],['# of courses remaining]])-Table311[[#This Row],[No Shows]])/(Table311[[#This Row],[Quota per Offering]]*(Table311[[#This Row],[Course Offerings]]-Table311[[#This Row],['# of course completion reports to be processed]]-Table311[[#This Row],['# of courses remaining]])),0)</calculatedColumnFormula>
    </tableColumn>
    <tableColumn id="24" xr3:uid="{00000000-0010-0000-0000-000018000000}" name="Remaining Open Quotas FY24 QTR 3" dataDxfId="1018" totalsRowDxfId="1017" dataCellStyle="Percent"/>
    <tableColumn id="22" xr3:uid="{00000000-0010-0000-0000-000016000000}" name="Remaining Open Quotas FY24 QTR 4" totalsRowDxfId="1016"/>
    <tableColumn id="17" xr3:uid="{00000000-0010-0000-0000-000011000000}" name="# of additional grads if all quotas are filled of course results remaining to be processed" totalsRowFunction="sum" dataDxfId="1015" totalsRowDxfId="1014">
      <calculatedColumnFormula>SUM(P5,Q5)*F5</calculatedColumnFormula>
    </tableColumn>
    <tableColumn id="18" xr3:uid="{00000000-0010-0000-0000-000012000000}" name="Difference between completed and fleet need of completed, potentially remaining quotas, and processed courses" totalsRowFunction="sum" dataDxfId="1013" totalsRowDxfId="1012">
      <calculatedColumnFormula>Table311[[#This Row],[Fleet Quota Need]]-Table311[[#This Row],[Total Grads]]</calculatedColumnFormula>
    </tableColumn>
    <tableColumn id="19" xr3:uid="{00000000-0010-0000-0000-000013000000}" name="Comments" dataDxfId="1011" totalsRowDxfId="1010"/>
  </tableColumns>
  <tableStyleInfo name="TableStyleLight8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5000000}" name="Table3112" displayName="Table3112" ref="B5:N43" headerRowDxfId="1009" dataDxfId="1008" totalsRowDxfId="1006" tableBorderDxfId="1007" totalsRowBorderDxfId="1005">
  <autoFilter ref="B5:N43" xr:uid="{00000000-0009-0000-0100-000001000000}"/>
  <sortState xmlns:xlrd2="http://schemas.microsoft.com/office/spreadsheetml/2017/richdata2" ref="B6:Y41">
    <sortCondition ref="D4:D40"/>
  </sortState>
  <tableColumns count="13">
    <tableColumn id="1" xr3:uid="{00000000-0010-0000-0500-000001000000}" name="Courses - Planned vs Need (Active Courses)" totalsRowLabel="Total" dataDxfId="1004" totalsRowDxfId="1003"/>
    <tableColumn id="2" xr3:uid="{00000000-0010-0000-0500-000002000000}" name="CTR" dataDxfId="1002" totalsRowDxfId="1001"/>
    <tableColumn id="3" xr3:uid="{00000000-0010-0000-0500-000003000000}" name="Dept" dataDxfId="1000" totalsRowDxfId="999"/>
    <tableColumn id="4" xr3:uid="{00000000-0010-0000-0500-000004000000}" name="Course Offerings Todate" totalsRowFunction="sum" dataDxfId="998" totalsRowDxfId="997">
      <calculatedColumnFormula>COUNTIFS(Table2[Course Title],Table3112[[#This Row],[Courses - Planned vs Need (Active Courses)]],Table2[Remaining Courses],"0")</calculatedColumnFormula>
    </tableColumn>
    <tableColumn id="5" xr3:uid="{00000000-0010-0000-0500-000005000000}" name="Online" totalsRowFunction="sum" dataDxfId="996" totalsRowDxfId="995">
      <calculatedColumnFormula>COUNTIFS(Table2[Course Title],Table3112[[#This Row],[Courses - Planned vs Need (Active Courses)]],Table2[Location],"Global Online",Table2[Remaining Courses],"0")</calculatedColumnFormula>
    </tableColumn>
    <tableColumn id="6" xr3:uid="{00000000-0010-0000-0500-000006000000}" name="Resident" totalsRowFunction="sum" dataDxfId="994" totalsRowDxfId="993">
      <calculatedColumnFormula>Table3112[[#This Row],[Course Offerings Todate]]-Table3112[[#This Row],[Online]]</calculatedColumnFormula>
    </tableColumn>
    <tableColumn id="14" xr3:uid="{00000000-0010-0000-0500-00000E000000}" name="Quotas Per Convening" dataDxfId="992" totalsRowDxfId="991"/>
    <tableColumn id="9" xr3:uid="{00000000-0010-0000-0500-000009000000}" name="Quotas Provided" dataDxfId="990" totalsRowDxfId="989">
      <calculatedColumnFormula>Table3112[[#This Row],[Course Offerings Todate]]*Table3112[[#This Row],[Quotas Per Convening]]</calculatedColumnFormula>
    </tableColumn>
    <tableColumn id="13" xr3:uid="{00000000-0010-0000-0500-00000D000000}" name="Quotas Used" dataDxfId="988" totalsRowDxfId="987">
      <calculatedColumnFormula>SUM(Table3112[[#This Row],[Total Grads]]+Table3112[[#This Row],[Fails]]+Table3112[[#This Row],[No Shows]])</calculatedColumnFormula>
    </tableColumn>
    <tableColumn id="10" xr3:uid="{00000000-0010-0000-0500-00000A000000}" name="Total Grads" totalsRowFunction="sum" dataDxfId="986" totalsRowDxfId="985">
      <calculatedColumnFormula>SUMIF(Table2[Course Title],Table3112[[#This Row],[Courses - Planned vs Need (Active Courses)]],Table2[Graduates])</calculatedColumnFormula>
    </tableColumn>
    <tableColumn id="7" xr3:uid="{00000000-0010-0000-0500-000007000000}" name="Fails" dataDxfId="984" totalsRowDxfId="983">
      <calculatedColumnFormula>SUMIF(Table2[Course Title],Table3112[[#This Row],[Courses - Planned vs Need (Active Courses)]],Table2[Fail])</calculatedColumnFormula>
    </tableColumn>
    <tableColumn id="11" xr3:uid="{00000000-0010-0000-0500-00000B000000}" name="No Shows" totalsRowFunction="sum" dataDxfId="982">
      <calculatedColumnFormula>SUMIF(Table2[Course Title],Table3112[[#This Row],[Courses - Planned vs Need (Active Courses)]],Table2[No Shows])</calculatedColumnFormula>
    </tableColumn>
    <tableColumn id="12" xr3:uid="{00000000-0010-0000-0500-00000C000000}" name="Walk-ins" totalsRowFunction="sum" dataDxfId="981">
      <calculatedColumnFormula>SUMIF(Table2[Course Title],Table3112[[#This Row],[Courses - Planned vs Need (Active Courses)]],Table2[Walk-ins])</calculatedColumnFormula>
    </tableColumn>
  </tableColumns>
  <tableStyleInfo name="TableStyleLight8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4000000}" name="Table2" displayName="Table2" ref="A3:AC465" totalsRowCount="1" headerRowDxfId="979" dataDxfId="977" totalsRowDxfId="976" headerRowBorderDxfId="978">
  <autoFilter ref="A3:AC464" xr:uid="{00000000-0009-0000-0100-000002000000}"/>
  <sortState xmlns:xlrd2="http://schemas.microsoft.com/office/spreadsheetml/2017/richdata2" ref="A4:AC464">
    <sortCondition ref="F3:F464"/>
  </sortState>
  <tableColumns count="29">
    <tableColumn id="1" xr3:uid="{00000000-0010-0000-0400-000001000000}" name="Comments" totalsRowLabel="Total" dataDxfId="975" totalsRowDxfId="974"/>
    <tableColumn id="2" xr3:uid="{00000000-0010-0000-0400-000002000000}" name="Course Title" totalsRowFunction="count" dataDxfId="973" totalsRowDxfId="972"/>
    <tableColumn id="3" xr3:uid="{00000000-0010-0000-0400-000003000000}" name="CIN" dataDxfId="971" totalsRowDxfId="970">
      <calculatedColumnFormula>VLOOKUP(Table2[[#This Row],[Course Title]],Data!$A$1:$E$56,2,FALSE)</calculatedColumnFormula>
    </tableColumn>
    <tableColumn id="4" xr3:uid="{00000000-0010-0000-0400-000004000000}" name="CDP " dataDxfId="969" totalsRowDxfId="968">
      <calculatedColumnFormula>VLOOKUP(Table2[[#This Row],[Course Title]],Data!$A$1:$E$56,3,FALSE)</calculatedColumnFormula>
    </tableColumn>
    <tableColumn id="5" xr3:uid="{00000000-0010-0000-0400-000005000000}" name="Location" dataDxfId="967" totalsRowDxfId="966"/>
    <tableColumn id="6" xr3:uid="{00000000-0010-0000-0400-000006000000}" name="Start Date" dataDxfId="965" totalsRowDxfId="964"/>
    <tableColumn id="7" xr3:uid="{00000000-0010-0000-0400-000007000000}" name="End Date" dataDxfId="963" totalsRowDxfId="962"/>
    <tableColumn id="26" xr3:uid="{00000000-0010-0000-0400-00001A000000}" name="Resident Local Start Time of location" dataDxfId="961" totalsRowDxfId="960"/>
    <tableColumn id="32" xr3:uid="{00000000-0010-0000-0400-000020000000}" name="EST/EDT Local Live Session Start Time " dataDxfId="959" totalsRowDxfId="958"/>
    <tableColumn id="28" xr3:uid="{00000000-0010-0000-0400-00001C000000}" name="PST/PDT Local Live Session Start Time " dataDxfId="957" totalsRowDxfId="956"/>
    <tableColumn id="29" xr3:uid="{00000000-0010-0000-0400-00001D000000}" name="AST Local Live Session Start Time " dataDxfId="955" totalsRowDxfId="954"/>
    <tableColumn id="30" xr3:uid="{00000000-0010-0000-0400-00001E000000}" name="CET/CEST Local Live Session Start Time " dataDxfId="953" totalsRowDxfId="952"/>
    <tableColumn id="27" xr3:uid="{00000000-0010-0000-0400-00001B000000}" name="HST Local Live Session Start Time " dataDxfId="951" totalsRowDxfId="950"/>
    <tableColumn id="31" xr3:uid="{00000000-0010-0000-0400-00001F000000}" name="JST Local Live Session Start Time " dataDxfId="949" totalsRowDxfId="948"/>
    <tableColumn id="11" xr3:uid="{00000000-0010-0000-0400-00000B000000}" name="Survey" dataDxfId="947" totalsRowDxfId="946"/>
    <tableColumn id="12" xr3:uid="{00000000-0010-0000-0400-00000C000000}" name="Survey Results" dataDxfId="945" totalsRowDxfId="944"/>
    <tableColumn id="13" xr3:uid="{00000000-0010-0000-0400-00000D000000}" name="Contract Cost" dataDxfId="943" totalsRowDxfId="942"/>
    <tableColumn id="14" xr3:uid="{00000000-0010-0000-0400-00000E000000}" name="Travel Cost" dataDxfId="941" totalsRowDxfId="940"/>
    <tableColumn id="15" xr3:uid="{00000000-0010-0000-0400-00000F000000}" name="Material Cost" dataDxfId="939" totalsRowDxfId="938"/>
    <tableColumn id="22" xr3:uid="{00000000-0010-0000-0400-000016000000}" name="Quotas" totalsRowFunction="custom" dataDxfId="937" totalsRowDxfId="936">
      <totalsRowFormula>SUBTOTAL(109,T4:T464)</totalsRowFormula>
    </tableColumn>
    <tableColumn id="10" xr3:uid="{00000000-0010-0000-0400-00000A000000}" name="Course Length (Days)" totalsRowFunction="sum" dataDxfId="935" totalsRowDxfId="934"/>
    <tableColumn id="16" xr3:uid="{00000000-0010-0000-0400-000010000000}" name="Graduates" totalsRowFunction="custom" dataDxfId="933" totalsRowDxfId="932">
      <totalsRowFormula>SUBTOTAL(109,V4:V464)</totalsRowFormula>
    </tableColumn>
    <tableColumn id="17" xr3:uid="{00000000-0010-0000-0400-000011000000}" name="Fail" dataDxfId="931" totalsRowDxfId="930"/>
    <tableColumn id="18" xr3:uid="{00000000-0010-0000-0400-000012000000}" name="No Shows" totalsRowFunction="custom" dataDxfId="929" totalsRowDxfId="928">
      <totalsRowFormula>SUM(X4:X464)</totalsRowFormula>
    </tableColumn>
    <tableColumn id="19" xr3:uid="{00000000-0010-0000-0400-000013000000}" name="Walk-ins" dataDxfId="927" totalsRowDxfId="926"/>
    <tableColumn id="20" xr3:uid="{00000000-0010-0000-0400-000014000000}" name="Foreign Grads" dataDxfId="925" totalsRowDxfId="924"/>
    <tableColumn id="23" xr3:uid="{00000000-0010-0000-0400-000017000000}" name="Roster Due" dataDxfId="923" totalsRowDxfId="922">
      <calculatedColumnFormula>Table2[[#This Row],[End Date]]+2-TODAY()</calculatedColumnFormula>
    </tableColumn>
    <tableColumn id="24" xr3:uid="{00000000-0010-0000-0400-000018000000}" name="Roster Status" dataDxfId="921" totalsRowDxfId="920">
      <calculatedColumnFormula>IF(ISBLANK(#REF!),1,0)</calculatedColumnFormula>
    </tableColumn>
    <tableColumn id="25" xr3:uid="{00000000-0010-0000-0400-000019000000}" name="Remaining Courses" dataDxfId="919" totalsRowDxfId="918">
      <calculatedColumnFormula>IF(Table2[[#This Row],[Start Date]]&gt;TODAY(),1,)</calculatedColumnFormula>
    </tableColumn>
  </tableColumns>
  <tableStyleInfo name="TableStyleMedium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ivotTable" Target="../pivotTables/pivotTable1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2:AB44"/>
  <sheetViews>
    <sheetView topLeftCell="AA1" zoomScale="90" zoomScaleNormal="90" workbookViewId="0">
      <selection activeCell="P7" sqref="P7"/>
    </sheetView>
  </sheetViews>
  <sheetFormatPr defaultRowHeight="15"/>
  <cols>
    <col min="2" max="2" width="73.42578125" bestFit="1" customWidth="1"/>
    <col min="20" max="20" width="10.85546875" customWidth="1"/>
    <col min="26" max="26" width="7.140625" customWidth="1"/>
  </cols>
  <sheetData>
    <row r="2" spans="2:28">
      <c r="B2" s="3" t="s">
        <v>357</v>
      </c>
      <c r="C2" s="53"/>
      <c r="D2" s="53"/>
      <c r="E2" s="53"/>
      <c r="F2" s="53"/>
      <c r="G2" s="3"/>
      <c r="H2" s="3"/>
      <c r="I2" s="3"/>
      <c r="J2" s="3"/>
      <c r="K2" s="53"/>
      <c r="L2" s="53"/>
      <c r="M2" s="53"/>
      <c r="N2" s="53"/>
    </row>
    <row r="3" spans="2:28" ht="15.75" thickBot="1">
      <c r="B3" s="143" t="e">
        <f ca="1">ModDate()</f>
        <v>#NAME?</v>
      </c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</row>
    <row r="4" spans="2:28" ht="15.75">
      <c r="B4" s="281" t="s">
        <v>379</v>
      </c>
      <c r="C4" s="282"/>
      <c r="D4" s="282"/>
      <c r="E4" s="282"/>
      <c r="F4" s="282"/>
      <c r="G4" s="282"/>
      <c r="H4" s="194"/>
      <c r="I4" s="194"/>
      <c r="J4" s="194"/>
      <c r="K4" s="283"/>
      <c r="L4" s="287"/>
      <c r="M4" s="284"/>
      <c r="N4" s="284"/>
    </row>
    <row r="5" spans="2:28" ht="60">
      <c r="B5" s="144" t="s">
        <v>43</v>
      </c>
      <c r="C5" s="59" t="s">
        <v>361</v>
      </c>
      <c r="D5" s="59" t="s">
        <v>362</v>
      </c>
      <c r="E5" s="59" t="s">
        <v>380</v>
      </c>
      <c r="F5" s="59" t="s">
        <v>381</v>
      </c>
      <c r="G5" s="59" t="s">
        <v>188</v>
      </c>
      <c r="H5" s="129" t="s">
        <v>382</v>
      </c>
      <c r="I5" s="129" t="s">
        <v>383</v>
      </c>
      <c r="J5" s="129" t="s">
        <v>384</v>
      </c>
      <c r="K5" s="130" t="s">
        <v>364</v>
      </c>
      <c r="L5" s="131" t="s">
        <v>385</v>
      </c>
      <c r="M5" s="132" t="s">
        <v>365</v>
      </c>
      <c r="N5" s="132" t="s">
        <v>386</v>
      </c>
    </row>
    <row r="6" spans="2:28" ht="15.75">
      <c r="B6" s="145" t="s">
        <v>184</v>
      </c>
      <c r="C6" s="79"/>
      <c r="D6" s="79" t="s">
        <v>387</v>
      </c>
      <c r="E6" s="79">
        <f ca="1">COUNTIFS(Table2[Course Title],Table3112[[#This Row],[Courses - Planned vs Need (Active Courses)]],Table2[Remaining Courses],"0")</f>
        <v>5</v>
      </c>
      <c r="F6" s="133">
        <f ca="1">COUNTIFS(Table2[Course Title],Table3112[[#This Row],[Courses - Planned vs Need (Active Courses)]],Table2[Location],"Global Online",Table2[Remaining Courses],"0")</f>
        <v>5</v>
      </c>
      <c r="G6" s="79">
        <f ca="1">Table3112[[#This Row],[Course Offerings Todate]]-Table3112[[#This Row],[Online]]</f>
        <v>0</v>
      </c>
      <c r="H6" s="94">
        <v>45</v>
      </c>
      <c r="I6" s="79">
        <f ca="1">Table3112[[#This Row],[Course Offerings Todate]]*Table3112[[#This Row],[Quotas Per Convening]]</f>
        <v>225</v>
      </c>
      <c r="J6" s="79">
        <f>SUM(Table3112[[#This Row],[Total Grads]]+Table3112[[#This Row],[Fails]]+Table3112[[#This Row],[No Shows]])</f>
        <v>110</v>
      </c>
      <c r="K6" s="79">
        <f>SUMIF(Table2[Course Title],Table3112[[#This Row],[Courses - Planned vs Need (Active Courses)]],Table2[Graduates])</f>
        <v>84</v>
      </c>
      <c r="L6" s="79">
        <f>SUMIF(Table2[Course Title],Table3112[[#This Row],[Courses - Planned vs Need (Active Courses)]],Table2[Fail])</f>
        <v>2</v>
      </c>
      <c r="M6" s="79">
        <f>SUMIF(Table2[Course Title],Table3112[[#This Row],[Courses - Planned vs Need (Active Courses)]],Table2[No Shows])</f>
        <v>24</v>
      </c>
      <c r="N6" s="79">
        <f>SUMIF(Table2[Course Title],Table3112[[#This Row],[Courses - Planned vs Need (Active Courses)]],Table2[Walk-ins])</f>
        <v>2</v>
      </c>
      <c r="O6" s="134"/>
      <c r="P6" s="134"/>
      <c r="Q6" s="134"/>
      <c r="R6" s="134"/>
      <c r="S6" s="134"/>
      <c r="T6" s="134"/>
      <c r="U6" s="134"/>
      <c r="V6" s="134"/>
      <c r="W6" s="134"/>
      <c r="X6" s="134"/>
      <c r="Y6" s="134"/>
      <c r="Z6" s="134"/>
      <c r="AA6" s="134"/>
      <c r="AB6" s="134"/>
    </row>
    <row r="7" spans="2:28" ht="57" customHeight="1">
      <c r="B7" s="146" t="s">
        <v>17</v>
      </c>
      <c r="C7" s="79" t="s">
        <v>53</v>
      </c>
      <c r="D7" s="79" t="s">
        <v>387</v>
      </c>
      <c r="E7" s="79">
        <f ca="1">COUNTIFS(Table2[Course Title],Table3112[[#This Row],[Courses - Planned vs Need (Active Courses)]],Table2[Remaining Courses],"0")</f>
        <v>10</v>
      </c>
      <c r="F7" s="133">
        <f>COUNTIFS(Table2[Course Title],Table3112[[#This Row],[Courses - Planned vs Need (Active Courses)]],Table2[Location],"Global Online",Table2[Remaining Courses],"0")</f>
        <v>0</v>
      </c>
      <c r="G7" s="79">
        <f ca="1">Table3112[[#This Row],[Course Offerings Todate]]-Table3112[[#This Row],[Online]]</f>
        <v>10</v>
      </c>
      <c r="H7" s="77">
        <v>40</v>
      </c>
      <c r="I7" s="79">
        <f ca="1">Table3112[[#This Row],[Course Offerings Todate]]*Table3112[[#This Row],[Quotas Per Convening]]</f>
        <v>400</v>
      </c>
      <c r="J7" s="79">
        <f>SUM(Table3112[[#This Row],[Total Grads]]+Table3112[[#This Row],[Fails]]+Table3112[[#This Row],[No Shows]])</f>
        <v>270</v>
      </c>
      <c r="K7" s="79">
        <f>SUMIF(Table2[Course Title],Table3112[[#This Row],[Courses - Planned vs Need (Active Courses)]],Table2[Graduates])</f>
        <v>246</v>
      </c>
      <c r="L7" s="79">
        <f>SUMIF(Table2[Course Title],Table3112[[#This Row],[Courses - Planned vs Need (Active Courses)]],Table2[Fail])</f>
        <v>12</v>
      </c>
      <c r="M7" s="79">
        <f>SUMIF(Table2[Course Title],Table3112[[#This Row],[Courses - Planned vs Need (Active Courses)]],Table2[No Shows])</f>
        <v>12</v>
      </c>
      <c r="N7" s="79">
        <f>SUMIF(Table2[Course Title],Table3112[[#This Row],[Courses - Planned vs Need (Active Courses)]],Table2[Walk-ins])</f>
        <v>58</v>
      </c>
      <c r="O7" s="134"/>
      <c r="P7" s="149" t="s">
        <v>388</v>
      </c>
      <c r="Q7" s="149" t="s">
        <v>381</v>
      </c>
      <c r="R7" s="149" t="s">
        <v>188</v>
      </c>
      <c r="S7" s="149" t="s">
        <v>383</v>
      </c>
      <c r="T7" s="150" t="s">
        <v>389</v>
      </c>
      <c r="U7" s="149" t="s">
        <v>390</v>
      </c>
      <c r="V7" s="149" t="s">
        <v>391</v>
      </c>
      <c r="W7" s="149" t="s">
        <v>385</v>
      </c>
      <c r="X7" s="149" t="s">
        <v>392</v>
      </c>
      <c r="Y7" s="149" t="s">
        <v>393</v>
      </c>
      <c r="Z7" s="149" t="s">
        <v>394</v>
      </c>
      <c r="AA7" s="149" t="s">
        <v>395</v>
      </c>
      <c r="AB7" s="149" t="s">
        <v>396</v>
      </c>
    </row>
    <row r="8" spans="2:28" ht="15.75">
      <c r="B8" s="146" t="s">
        <v>18</v>
      </c>
      <c r="C8" s="79" t="s">
        <v>53</v>
      </c>
      <c r="D8" s="79" t="s">
        <v>387</v>
      </c>
      <c r="E8" s="79">
        <f ca="1">COUNTIFS(Table2[Course Title],Table3112[[#This Row],[Courses - Planned vs Need (Active Courses)]],Table2[Remaining Courses],"0")</f>
        <v>6</v>
      </c>
      <c r="F8" s="133">
        <f>COUNTIFS(Table2[Course Title],Table3112[[#This Row],[Courses - Planned vs Need (Active Courses)]],Table2[Location],"Global Online",Table2[Remaining Courses],"0")</f>
        <v>0</v>
      </c>
      <c r="G8" s="79">
        <f ca="1">Table3112[[#This Row],[Course Offerings Todate]]-Table3112[[#This Row],[Online]]</f>
        <v>6</v>
      </c>
      <c r="H8" s="77">
        <v>40</v>
      </c>
      <c r="I8" s="79">
        <f ca="1">Table3112[[#This Row],[Course Offerings Todate]]*Table3112[[#This Row],[Quotas Per Convening]]</f>
        <v>240</v>
      </c>
      <c r="J8" s="79">
        <f>SUM(Table3112[[#This Row],[Total Grads]]+Table3112[[#This Row],[Fails]]+Table3112[[#This Row],[No Shows]])</f>
        <v>122</v>
      </c>
      <c r="K8" s="79">
        <f>SUMIF(Table2[Course Title],Table3112[[#This Row],[Courses - Planned vs Need (Active Courses)]],Table2[Graduates])</f>
        <v>116</v>
      </c>
      <c r="L8" s="79">
        <f>SUMIF(Table2[Course Title],Table3112[[#This Row],[Courses - Planned vs Need (Active Courses)]],Table2[Fail])</f>
        <v>0</v>
      </c>
      <c r="M8" s="79">
        <f>SUMIF(Table2[Course Title],Table3112[[#This Row],[Courses - Planned vs Need (Active Courses)]],Table2[No Shows])</f>
        <v>6</v>
      </c>
      <c r="N8" s="79">
        <f>SUMIF(Table2[Course Title],Table3112[[#This Row],[Courses - Planned vs Need (Active Courses)]],Table2[Walk-ins])</f>
        <v>49</v>
      </c>
      <c r="O8" s="134"/>
      <c r="P8" s="135" t="s">
        <v>387</v>
      </c>
      <c r="Q8" s="136">
        <f ca="1">SUM(F6:F15)</f>
        <v>13</v>
      </c>
      <c r="R8" s="136">
        <f ca="1">SUM(G6:G15)</f>
        <v>37</v>
      </c>
      <c r="S8" s="136">
        <f ca="1">SUM(I6:I15)</f>
        <v>1695</v>
      </c>
      <c r="T8" s="136">
        <f>SUM(J6:J15)</f>
        <v>1083</v>
      </c>
      <c r="U8" s="136">
        <f>SUM(K6:K15)</f>
        <v>921</v>
      </c>
      <c r="V8" s="141">
        <f>U8/T8</f>
        <v>0.85041551246537395</v>
      </c>
      <c r="W8" s="136">
        <f t="shared" ref="W8" si="0">SUM(L6:L15)</f>
        <v>15</v>
      </c>
      <c r="X8" s="141">
        <f>W8/T8</f>
        <v>1.3850415512465374E-2</v>
      </c>
      <c r="Y8" s="136">
        <f>SUM(M6:M15)</f>
        <v>147</v>
      </c>
      <c r="Z8" s="141">
        <f>Y8/T8</f>
        <v>0.13573407202216067</v>
      </c>
      <c r="AA8" s="136">
        <f>SUM(N6:N15)</f>
        <v>233</v>
      </c>
      <c r="AB8" s="142">
        <f>AA8/T8</f>
        <v>0.21514312096029548</v>
      </c>
    </row>
    <row r="9" spans="2:28" ht="15.75">
      <c r="B9" s="146" t="s">
        <v>23</v>
      </c>
      <c r="C9" s="79" t="s">
        <v>53</v>
      </c>
      <c r="D9" s="79" t="s">
        <v>387</v>
      </c>
      <c r="E9" s="79">
        <f ca="1">COUNTIFS(Table2[Course Title],Table3112[[#This Row],[Courses - Planned vs Need (Active Courses)]],Table2[Remaining Courses],"0")</f>
        <v>4</v>
      </c>
      <c r="F9" s="133">
        <f>COUNTIFS(Table2[Course Title],Table3112[[#This Row],[Courses - Planned vs Need (Active Courses)]],Table2[Location],"Global Online",Table2[Remaining Courses],"0")</f>
        <v>0</v>
      </c>
      <c r="G9" s="79">
        <f ca="1">Table3112[[#This Row],[Course Offerings Todate]]-Table3112[[#This Row],[Online]]</f>
        <v>4</v>
      </c>
      <c r="H9" s="77">
        <v>25</v>
      </c>
      <c r="I9" s="79">
        <f ca="1">Table3112[[#This Row],[Course Offerings Todate]]*Table3112[[#This Row],[Quotas Per Convening]]</f>
        <v>100</v>
      </c>
      <c r="J9" s="79">
        <f>SUM(Table3112[[#This Row],[Total Grads]]+Table3112[[#This Row],[Fails]]+Table3112[[#This Row],[No Shows]])</f>
        <v>64</v>
      </c>
      <c r="K9" s="79">
        <f>SUMIF(Table2[Course Title],Table3112[[#This Row],[Courses - Planned vs Need (Active Courses)]],Table2[Graduates])</f>
        <v>50</v>
      </c>
      <c r="L9" s="79">
        <f>SUMIF(Table2[Course Title],Table3112[[#This Row],[Courses - Planned vs Need (Active Courses)]],Table2[Fail])</f>
        <v>1</v>
      </c>
      <c r="M9" s="79">
        <f>SUMIF(Table2[Course Title],Table3112[[#This Row],[Courses - Planned vs Need (Active Courses)]],Table2[No Shows])</f>
        <v>13</v>
      </c>
      <c r="N9" s="79">
        <f>SUMIF(Table2[Course Title],Table3112[[#This Row],[Courses - Planned vs Need (Active Courses)]],Table2[Walk-ins])</f>
        <v>23</v>
      </c>
      <c r="O9" s="134"/>
      <c r="P9" s="135" t="s">
        <v>397</v>
      </c>
      <c r="Q9" s="136">
        <f ca="1">SUM(F18:F43)</f>
        <v>100</v>
      </c>
      <c r="R9" s="136">
        <f ca="1">SUM(G18:G43)</f>
        <v>46</v>
      </c>
      <c r="S9" s="136">
        <f ca="1">SUM(I18:I43)</f>
        <v>5685</v>
      </c>
      <c r="T9" s="136">
        <f>SUM(J18:J43)</f>
        <v>4707</v>
      </c>
      <c r="U9" s="136">
        <f>SUM(K18:K43)</f>
        <v>3891</v>
      </c>
      <c r="V9" s="141">
        <f>U9/T9</f>
        <v>0.82664117272147863</v>
      </c>
      <c r="W9" s="136">
        <f t="shared" ref="W9" si="1">SUM(L18:L43)</f>
        <v>70</v>
      </c>
      <c r="X9" s="141">
        <f>W9/T9</f>
        <v>1.4871468026343744E-2</v>
      </c>
      <c r="Y9" s="136">
        <f>SUM(M18:M43)</f>
        <v>746</v>
      </c>
      <c r="Z9" s="141">
        <f>Y9/T9</f>
        <v>0.15848735925217761</v>
      </c>
      <c r="AA9" s="136">
        <f>SUM(N18:N43)</f>
        <v>86</v>
      </c>
      <c r="AB9" s="151">
        <f>AA9/T9</f>
        <v>1.8270660718079455E-2</v>
      </c>
    </row>
    <row r="10" spans="2:28" ht="15.75">
      <c r="B10" s="146" t="s">
        <v>24</v>
      </c>
      <c r="C10" s="79" t="s">
        <v>53</v>
      </c>
      <c r="D10" s="79" t="s">
        <v>387</v>
      </c>
      <c r="E10" s="79">
        <f ca="1">COUNTIFS(Table2[Course Title],Table3112[[#This Row],[Courses - Planned vs Need (Active Courses)]],Table2[Remaining Courses],"0")</f>
        <v>9</v>
      </c>
      <c r="F10" s="133">
        <f ca="1">COUNTIFS(Table2[Course Title],Table3112[[#This Row],[Courses - Planned vs Need (Active Courses)]],Table2[Location],"Global Online",Table2[Remaining Courses],"0")</f>
        <v>6</v>
      </c>
      <c r="G10" s="79">
        <f ca="1">Table3112[[#This Row],[Course Offerings Todate]]-Table3112[[#This Row],[Online]]</f>
        <v>3</v>
      </c>
      <c r="H10" s="77">
        <v>30</v>
      </c>
      <c r="I10" s="79">
        <f ca="1">Table3112[[#This Row],[Course Offerings Todate]]*Table3112[[#This Row],[Quotas Per Convening]]</f>
        <v>270</v>
      </c>
      <c r="J10" s="79">
        <f>SUM(Table3112[[#This Row],[Total Grads]]+Table3112[[#This Row],[Fails]]+Table3112[[#This Row],[No Shows]])</f>
        <v>162</v>
      </c>
      <c r="K10" s="79">
        <f>SUMIF(Table2[Course Title],Table3112[[#This Row],[Courses - Planned vs Need (Active Courses)]],Table2[Graduates])</f>
        <v>150</v>
      </c>
      <c r="L10" s="79">
        <f>SUMIF(Table2[Course Title],Table3112[[#This Row],[Courses - Planned vs Need (Active Courses)]],Table2[Fail])</f>
        <v>0</v>
      </c>
      <c r="M10" s="79">
        <f>SUMIF(Table2[Course Title],Table3112[[#This Row],[Courses - Planned vs Need (Active Courses)]],Table2[No Shows])</f>
        <v>12</v>
      </c>
      <c r="N10" s="79">
        <f>SUMIF(Table2[Course Title],Table3112[[#This Row],[Courses - Planned vs Need (Active Courses)]],Table2[Walk-ins])</f>
        <v>14</v>
      </c>
      <c r="O10" s="134"/>
      <c r="P10" s="134"/>
      <c r="Q10" s="134"/>
      <c r="R10" s="134"/>
      <c r="S10" s="134"/>
      <c r="T10" s="134"/>
      <c r="U10" s="134"/>
      <c r="V10" s="134"/>
      <c r="W10" s="134"/>
      <c r="X10" s="134"/>
      <c r="Y10" s="134"/>
      <c r="Z10" s="134"/>
      <c r="AA10" s="134"/>
      <c r="AB10" s="134"/>
    </row>
    <row r="11" spans="2:28" ht="15.75">
      <c r="B11" s="146" t="s">
        <v>25</v>
      </c>
      <c r="C11" s="79" t="s">
        <v>53</v>
      </c>
      <c r="D11" s="79" t="s">
        <v>387</v>
      </c>
      <c r="E11" s="79">
        <f ca="1">COUNTIFS(Table2[Course Title],Table3112[[#This Row],[Courses - Planned vs Need (Active Courses)]],Table2[Remaining Courses],"0")</f>
        <v>5</v>
      </c>
      <c r="F11" s="133">
        <f ca="1">COUNTIFS(Table2[Course Title],Table3112[[#This Row],[Courses - Planned vs Need (Active Courses)]],Table2[Location],"Global Online",Table2[Remaining Courses],"0")</f>
        <v>1</v>
      </c>
      <c r="G11" s="79">
        <f ca="1">Table3112[[#This Row],[Course Offerings Todate]]-Table3112[[#This Row],[Online]]</f>
        <v>4</v>
      </c>
      <c r="H11" s="77">
        <v>30</v>
      </c>
      <c r="I11" s="79">
        <f ca="1">Table3112[[#This Row],[Course Offerings Todate]]*Table3112[[#This Row],[Quotas Per Convening]]</f>
        <v>150</v>
      </c>
      <c r="J11" s="79">
        <f>SUM(Table3112[[#This Row],[Total Grads]]+Table3112[[#This Row],[Fails]]+Table3112[[#This Row],[No Shows]])</f>
        <v>101</v>
      </c>
      <c r="K11" s="79">
        <f>SUMIF(Table2[Course Title],Table3112[[#This Row],[Courses - Planned vs Need (Active Courses)]],Table2[Graduates])</f>
        <v>82</v>
      </c>
      <c r="L11" s="79">
        <f>SUMIF(Table2[Course Title],Table3112[[#This Row],[Courses - Planned vs Need (Active Courses)]],Table2[Fail])</f>
        <v>0</v>
      </c>
      <c r="M11" s="79">
        <f>SUMIF(Table2[Course Title],Table3112[[#This Row],[Courses - Planned vs Need (Active Courses)]],Table2[No Shows])</f>
        <v>19</v>
      </c>
      <c r="N11" s="79">
        <f>SUMIF(Table2[Course Title],Table3112[[#This Row],[Courses - Planned vs Need (Active Courses)]],Table2[Walk-ins])</f>
        <v>27</v>
      </c>
      <c r="O11" s="134"/>
      <c r="P11" s="134"/>
      <c r="Q11" s="134"/>
      <c r="R11" s="134"/>
      <c r="S11" s="134"/>
      <c r="T11" s="134"/>
      <c r="U11" s="134"/>
      <c r="V11" s="134"/>
      <c r="W11" s="134"/>
      <c r="X11" s="134"/>
      <c r="Y11" s="134"/>
      <c r="Z11" s="134"/>
      <c r="AA11" s="134"/>
      <c r="AB11" s="134"/>
    </row>
    <row r="12" spans="2:28" ht="15.75">
      <c r="B12" s="146" t="s">
        <v>26</v>
      </c>
      <c r="C12" s="79" t="s">
        <v>53</v>
      </c>
      <c r="D12" s="79" t="s">
        <v>387</v>
      </c>
      <c r="E12" s="79">
        <f ca="1">COUNTIFS(Table2[Course Title],Table3112[[#This Row],[Courses - Planned vs Need (Active Courses)]],Table2[Remaining Courses],"0")</f>
        <v>3</v>
      </c>
      <c r="F12" s="133">
        <f>COUNTIFS(Table2[Course Title],Table3112[[#This Row],[Courses - Planned vs Need (Active Courses)]],Table2[Location],"Global Online",Table2[Remaining Courses],"0")</f>
        <v>0</v>
      </c>
      <c r="G12" s="79">
        <f ca="1">Table3112[[#This Row],[Course Offerings Todate]]-Table3112[[#This Row],[Online]]</f>
        <v>3</v>
      </c>
      <c r="H12" s="77">
        <v>30</v>
      </c>
      <c r="I12" s="79">
        <f ca="1">Table3112[[#This Row],[Course Offerings Todate]]*Table3112[[#This Row],[Quotas Per Convening]]</f>
        <v>90</v>
      </c>
      <c r="J12" s="79">
        <f>SUM(Table3112[[#This Row],[Total Grads]]+Table3112[[#This Row],[Fails]]+Table3112[[#This Row],[No Shows]])</f>
        <v>48</v>
      </c>
      <c r="K12" s="79">
        <f>SUMIF(Table2[Course Title],Table3112[[#This Row],[Courses - Planned vs Need (Active Courses)]],Table2[Graduates])</f>
        <v>38</v>
      </c>
      <c r="L12" s="79">
        <f>SUMIF(Table2[Course Title],Table3112[[#This Row],[Courses - Planned vs Need (Active Courses)]],Table2[Fail])</f>
        <v>0</v>
      </c>
      <c r="M12" s="79">
        <f>SUMIF(Table2[Course Title],Table3112[[#This Row],[Courses - Planned vs Need (Active Courses)]],Table2[No Shows])</f>
        <v>10</v>
      </c>
      <c r="N12" s="79">
        <f>SUMIF(Table2[Course Title],Table3112[[#This Row],[Courses - Planned vs Need (Active Courses)]],Table2[Walk-ins])</f>
        <v>8</v>
      </c>
      <c r="O12" s="134"/>
      <c r="P12" s="134"/>
      <c r="Q12" s="134"/>
      <c r="R12" s="134"/>
      <c r="S12" s="134"/>
      <c r="T12" s="134"/>
      <c r="U12" s="134"/>
      <c r="V12" s="134"/>
      <c r="W12" s="134"/>
      <c r="X12" s="134"/>
      <c r="Y12" s="134"/>
      <c r="Z12" s="134"/>
      <c r="AA12" s="134"/>
      <c r="AB12" s="134"/>
    </row>
    <row r="13" spans="2:28" ht="15.75">
      <c r="B13" s="146" t="s">
        <v>27</v>
      </c>
      <c r="C13" s="79" t="s">
        <v>53</v>
      </c>
      <c r="D13" s="79" t="s">
        <v>387</v>
      </c>
      <c r="E13" s="79">
        <f ca="1">COUNTIFS(Table2[Course Title],Table3112[[#This Row],[Courses - Planned vs Need (Active Courses)]],Table2[Remaining Courses],"0")</f>
        <v>4</v>
      </c>
      <c r="F13" s="133">
        <f ca="1">COUNTIFS(Table2[Course Title],Table3112[[#This Row],[Courses - Planned vs Need (Active Courses)]],Table2[Location],"Global Online",Table2[Remaining Courses],"0")</f>
        <v>1</v>
      </c>
      <c r="G13" s="79">
        <f ca="1">Table3112[[#This Row],[Course Offerings Todate]]-Table3112[[#This Row],[Online]]</f>
        <v>3</v>
      </c>
      <c r="H13" s="77">
        <v>30</v>
      </c>
      <c r="I13" s="79">
        <f ca="1">Table3112[[#This Row],[Course Offerings Todate]]*Table3112[[#This Row],[Quotas Per Convening]]</f>
        <v>120</v>
      </c>
      <c r="J13" s="79">
        <f>SUM(Table3112[[#This Row],[Total Grads]]+Table3112[[#This Row],[Fails]]+Table3112[[#This Row],[No Shows]])</f>
        <v>80</v>
      </c>
      <c r="K13" s="79">
        <f>SUMIF(Table2[Course Title],Table3112[[#This Row],[Courses - Planned vs Need (Active Courses)]],Table2[Graduates])</f>
        <v>62</v>
      </c>
      <c r="L13" s="79">
        <f>SUMIF(Table2[Course Title],Table3112[[#This Row],[Courses - Planned vs Need (Active Courses)]],Table2[Fail])</f>
        <v>0</v>
      </c>
      <c r="M13" s="79">
        <f>SUMIF(Table2[Course Title],Table3112[[#This Row],[Courses - Planned vs Need (Active Courses)]],Table2[No Shows])</f>
        <v>18</v>
      </c>
      <c r="N13" s="79">
        <f>SUMIF(Table2[Course Title],Table3112[[#This Row],[Courses - Planned vs Need (Active Courses)]],Table2[Walk-ins])</f>
        <v>21</v>
      </c>
    </row>
    <row r="14" spans="2:28" ht="15.75">
      <c r="B14" s="146" t="s">
        <v>35</v>
      </c>
      <c r="C14" s="79" t="s">
        <v>53</v>
      </c>
      <c r="D14" s="79" t="s">
        <v>387</v>
      </c>
      <c r="E14" s="79">
        <f ca="1">COUNTIFS(Table2[Course Title],Table3112[[#This Row],[Courses - Planned vs Need (Active Courses)]],Table2[Remaining Courses],"0")</f>
        <v>3</v>
      </c>
      <c r="F14" s="133">
        <f>COUNTIFS(Table2[Course Title],Table3112[[#This Row],[Courses - Planned vs Need (Active Courses)]],Table2[Location],"Global Online",Table2[Remaining Courses],"0")</f>
        <v>0</v>
      </c>
      <c r="G14" s="79">
        <f ca="1">Table3112[[#This Row],[Course Offerings Todate]]-Table3112[[#This Row],[Online]]</f>
        <v>3</v>
      </c>
      <c r="H14" s="77">
        <v>25</v>
      </c>
      <c r="I14" s="79">
        <f ca="1">Table3112[[#This Row],[Course Offerings Todate]]*Table3112[[#This Row],[Quotas Per Convening]]</f>
        <v>75</v>
      </c>
      <c r="J14" s="79">
        <f>SUM(Table3112[[#This Row],[Total Grads]]+Table3112[[#This Row],[Fails]]+Table3112[[#This Row],[No Shows]])</f>
        <v>93</v>
      </c>
      <c r="K14" s="79">
        <f>SUMIF(Table2[Course Title],Table3112[[#This Row],[Courses - Planned vs Need (Active Courses)]],Table2[Graduates])</f>
        <v>68</v>
      </c>
      <c r="L14" s="79">
        <f>SUMIF(Table2[Course Title],Table3112[[#This Row],[Courses - Planned vs Need (Active Courses)]],Table2[Fail])</f>
        <v>0</v>
      </c>
      <c r="M14" s="79">
        <f>SUMIF(Table2[Course Title],Table3112[[#This Row],[Courses - Planned vs Need (Active Courses)]],Table2[No Shows])</f>
        <v>25</v>
      </c>
      <c r="N14" s="79">
        <f>SUMIF(Table2[Course Title],Table3112[[#This Row],[Courses - Planned vs Need (Active Courses)]],Table2[Walk-ins])</f>
        <v>22</v>
      </c>
    </row>
    <row r="15" spans="2:28" ht="15.75">
      <c r="B15" s="146" t="s">
        <v>40</v>
      </c>
      <c r="C15" s="79" t="s">
        <v>53</v>
      </c>
      <c r="D15" s="79" t="s">
        <v>387</v>
      </c>
      <c r="E15" s="79">
        <f ca="1">COUNTIFS(Table2[Course Title],Table3112[[#This Row],[Courses - Planned vs Need (Active Courses)]],Table2[Remaining Courses],"0")</f>
        <v>1</v>
      </c>
      <c r="F15" s="133">
        <f>COUNTIFS(Table2[Course Title],Table3112[[#This Row],[Courses - Planned vs Need (Active Courses)]],Table2[Location],"Global Online",Table2[Remaining Courses],"0")</f>
        <v>0</v>
      </c>
      <c r="G15" s="79">
        <f ca="1">Table3112[[#This Row],[Course Offerings Todate]]-Table3112[[#This Row],[Online]]</f>
        <v>1</v>
      </c>
      <c r="H15" s="77">
        <v>25</v>
      </c>
      <c r="I15" s="79">
        <f ca="1">Table3112[[#This Row],[Course Offerings Todate]]*Table3112[[#This Row],[Quotas Per Convening]]</f>
        <v>25</v>
      </c>
      <c r="J15" s="79">
        <f>SUM(Table3112[[#This Row],[Total Grads]]+Table3112[[#This Row],[Fails]]+Table3112[[#This Row],[No Shows]])</f>
        <v>33</v>
      </c>
      <c r="K15" s="79">
        <f>SUMIF(Table2[Course Title],Table3112[[#This Row],[Courses - Planned vs Need (Active Courses)]],Table2[Graduates])</f>
        <v>25</v>
      </c>
      <c r="L15" s="79">
        <f>SUMIF(Table2[Course Title],Table3112[[#This Row],[Courses - Planned vs Need (Active Courses)]],Table2[Fail])</f>
        <v>0</v>
      </c>
      <c r="M15" s="79">
        <f>SUMIF(Table2[Course Title],Table3112[[#This Row],[Courses - Planned vs Need (Active Courses)]],Table2[No Shows])</f>
        <v>8</v>
      </c>
      <c r="N15" s="79">
        <f>SUMIF(Table2[Course Title],Table3112[[#This Row],[Courses - Planned vs Need (Active Courses)]],Table2[Walk-ins])</f>
        <v>9</v>
      </c>
    </row>
    <row r="16" spans="2:28" ht="15.75">
      <c r="B16" s="137"/>
      <c r="C16" s="137"/>
      <c r="D16" s="137"/>
      <c r="E16" s="79">
        <f>COUNTIFS(Table2[Course Title],Table3112[[#This Row],[Courses - Planned vs Need (Active Courses)]],Table2[Remaining Courses],"0")</f>
        <v>0</v>
      </c>
      <c r="F16" s="133">
        <f>COUNTIFS(Table2[Course Title],Table3112[[#This Row],[Courses - Planned vs Need (Active Courses)]],Table2[Location],"Global Online",Table2[Remaining Courses],"0")</f>
        <v>0</v>
      </c>
      <c r="G16" s="137"/>
      <c r="H16" s="137"/>
      <c r="I16" s="137"/>
      <c r="J16" s="138"/>
      <c r="K16" s="79">
        <f>SUMIF(Table2[Course Title],Table3112[[#This Row],[Courses - Planned vs Need (Active Courses)]],Table2[Graduates])</f>
        <v>0</v>
      </c>
      <c r="L16" s="79">
        <f>SUMIF(Table2[Course Title],Table3112[[#This Row],[Courses - Planned vs Need (Active Courses)]],Table2[Fail])</f>
        <v>0</v>
      </c>
      <c r="M16" s="79">
        <f>SUMIF(Table2[Course Title],Table3112[[#This Row],[Courses - Planned vs Need (Active Courses)]],Table2[No Shows])</f>
        <v>0</v>
      </c>
      <c r="N16" s="79">
        <f>SUMIF(Table2[Course Title],Table3112[[#This Row],[Courses - Planned vs Need (Active Courses)]],Table2[Walk-ins])</f>
        <v>0</v>
      </c>
    </row>
    <row r="17" spans="2:14" ht="15.75">
      <c r="B17" s="147" t="s">
        <v>397</v>
      </c>
      <c r="C17" s="137"/>
      <c r="D17" s="137"/>
      <c r="E17" s="79">
        <f>COUNTIFS(Table2[Course Title],Table3112[[#This Row],[Courses - Planned vs Need (Active Courses)]],Table2[Remaining Courses],"0")</f>
        <v>0</v>
      </c>
      <c r="F17" s="133">
        <f>COUNTIFS(Table2[Course Title],Table3112[[#This Row],[Courses - Planned vs Need (Active Courses)]],Table2[Location],"Global Online",Table2[Remaining Courses],"0")</f>
        <v>0</v>
      </c>
      <c r="G17" s="137"/>
      <c r="H17" s="137"/>
      <c r="I17" s="137"/>
      <c r="J17" s="138"/>
      <c r="K17" s="79">
        <f>SUMIF(Table2[Course Title],Table3112[[#This Row],[Courses - Planned vs Need (Active Courses)]],Table2[Graduates])</f>
        <v>0</v>
      </c>
      <c r="L17" s="79">
        <f>SUMIF(Table2[Course Title],Table3112[[#This Row],[Courses - Planned vs Need (Active Courses)]],Table2[Fail])</f>
        <v>0</v>
      </c>
      <c r="M17" s="79">
        <f>SUMIF(Table2[Course Title],Table3112[[#This Row],[Courses - Planned vs Need (Active Courses)]],Table2[No Shows])</f>
        <v>0</v>
      </c>
      <c r="N17" s="79">
        <f>SUMIF(Table2[Course Title],Table3112[[#This Row],[Courses - Planned vs Need (Active Courses)]],Table2[Walk-ins])</f>
        <v>0</v>
      </c>
    </row>
    <row r="18" spans="2:14" ht="15.75">
      <c r="B18" s="145" t="s">
        <v>215</v>
      </c>
      <c r="C18" s="79"/>
      <c r="D18" s="79" t="s">
        <v>397</v>
      </c>
      <c r="E18" s="79">
        <f ca="1">COUNTIFS(Table2[Course Title],Table3112[[#This Row],[Courses - Planned vs Need (Active Courses)]],Table2[Remaining Courses],"0")</f>
        <v>4</v>
      </c>
      <c r="F18" s="133">
        <f ca="1">COUNTIFS(Table2[Course Title],Table3112[[#This Row],[Courses - Planned vs Need (Active Courses)]],Table2[Location],"Global Online",Table2[Remaining Courses],"0")</f>
        <v>4</v>
      </c>
      <c r="G18" s="79">
        <f ca="1">Table3112[[#This Row],[Course Offerings Todate]]-Table3112[[#This Row],[Online]]</f>
        <v>0</v>
      </c>
      <c r="H18" s="77">
        <v>45</v>
      </c>
      <c r="I18" s="79">
        <f ca="1">Table3112[[#This Row],[Course Offerings Todate]]*Table3112[[#This Row],[Quotas Per Convening]]</f>
        <v>180</v>
      </c>
      <c r="J18" s="79">
        <f>SUM(Table3112[[#This Row],[Total Grads]]+Table3112[[#This Row],[Fails]]+Table3112[[#This Row],[No Shows]])</f>
        <v>136</v>
      </c>
      <c r="K18" s="79">
        <f>SUMIF(Table2[Course Title],Table3112[[#This Row],[Courses - Planned vs Need (Active Courses)]],Table2[Graduates])</f>
        <v>110</v>
      </c>
      <c r="L18" s="79">
        <f>SUMIF(Table2[Course Title],Table3112[[#This Row],[Courses - Planned vs Need (Active Courses)]],Table2[Fail])</f>
        <v>8</v>
      </c>
      <c r="M18" s="79">
        <f>SUMIF(Table2[Course Title],Table3112[[#This Row],[Courses - Planned vs Need (Active Courses)]],Table2[No Shows])</f>
        <v>18</v>
      </c>
      <c r="N18" s="79">
        <f>SUMIF(Table2[Course Title],Table3112[[#This Row],[Courses - Planned vs Need (Active Courses)]],Table2[Walk-ins])</f>
        <v>2</v>
      </c>
    </row>
    <row r="19" spans="2:14" ht="15.75">
      <c r="B19" s="145" t="s">
        <v>242</v>
      </c>
      <c r="C19" s="79"/>
      <c r="D19" s="79" t="s">
        <v>397</v>
      </c>
      <c r="E19" s="79">
        <f ca="1">COUNTIFS(Table2[Course Title],Table3112[[#This Row],[Courses - Planned vs Need (Active Courses)]],Table2[Remaining Courses],"0")</f>
        <v>9</v>
      </c>
      <c r="F19" s="133">
        <f ca="1">COUNTIFS(Table2[Course Title],Table3112[[#This Row],[Courses - Planned vs Need (Active Courses)]],Table2[Location],"Global Online",Table2[Remaining Courses],"0")</f>
        <v>9</v>
      </c>
      <c r="G19" s="79">
        <f ca="1">Table3112[[#This Row],[Course Offerings Todate]]-Table3112[[#This Row],[Online]]</f>
        <v>0</v>
      </c>
      <c r="H19" s="77">
        <v>45</v>
      </c>
      <c r="I19" s="79">
        <f ca="1">Table3112[[#This Row],[Course Offerings Todate]]*Table3112[[#This Row],[Quotas Per Convening]]</f>
        <v>405</v>
      </c>
      <c r="J19" s="79">
        <f>SUM(Table3112[[#This Row],[Total Grads]]+Table3112[[#This Row],[Fails]]+Table3112[[#This Row],[No Shows]])</f>
        <v>274</v>
      </c>
      <c r="K19" s="79">
        <f>SUMIF(Table2[Course Title],Table3112[[#This Row],[Courses - Planned vs Need (Active Courses)]],Table2[Graduates])</f>
        <v>237</v>
      </c>
      <c r="L19" s="79">
        <f>SUMIF(Table2[Course Title],Table3112[[#This Row],[Courses - Planned vs Need (Active Courses)]],Table2[Fail])</f>
        <v>2</v>
      </c>
      <c r="M19" s="79">
        <f>SUMIF(Table2[Course Title],Table3112[[#This Row],[Courses - Planned vs Need (Active Courses)]],Table2[No Shows])</f>
        <v>35</v>
      </c>
      <c r="N19" s="79">
        <f>SUMIF(Table2[Course Title],Table3112[[#This Row],[Courses - Planned vs Need (Active Courses)]],Table2[Walk-ins])</f>
        <v>3</v>
      </c>
    </row>
    <row r="20" spans="2:14" ht="15.75">
      <c r="B20" s="145" t="s">
        <v>299</v>
      </c>
      <c r="C20" s="79"/>
      <c r="D20" s="79" t="s">
        <v>397</v>
      </c>
      <c r="E20" s="79">
        <f ca="1">COUNTIFS(Table2[Course Title],Table3112[[#This Row],[Courses - Planned vs Need (Active Courses)]],Table2[Remaining Courses],"0")</f>
        <v>7</v>
      </c>
      <c r="F20" s="133">
        <f ca="1">COUNTIFS(Table2[Course Title],Table3112[[#This Row],[Courses - Planned vs Need (Active Courses)]],Table2[Location],"Global Online",Table2[Remaining Courses],"0")</f>
        <v>7</v>
      </c>
      <c r="G20" s="79">
        <f ca="1">Table3112[[#This Row],[Course Offerings Todate]]-Table3112[[#This Row],[Online]]</f>
        <v>0</v>
      </c>
      <c r="H20" s="77">
        <v>30</v>
      </c>
      <c r="I20" s="79">
        <f ca="1">Table3112[[#This Row],[Course Offerings Todate]]*Table3112[[#This Row],[Quotas Per Convening]]</f>
        <v>210</v>
      </c>
      <c r="J20" s="79">
        <f>SUM(Table3112[[#This Row],[Total Grads]]+Table3112[[#This Row],[Fails]]+Table3112[[#This Row],[No Shows]])</f>
        <v>189</v>
      </c>
      <c r="K20" s="79">
        <f>SUMIF(Table2[Course Title],Table3112[[#This Row],[Courses - Planned vs Need (Active Courses)]],Table2[Graduates])</f>
        <v>138</v>
      </c>
      <c r="L20" s="79">
        <f>SUMIF(Table2[Course Title],Table3112[[#This Row],[Courses - Planned vs Need (Active Courses)]],Table2[Fail])</f>
        <v>9</v>
      </c>
      <c r="M20" s="79">
        <f>SUMIF(Table2[Course Title],Table3112[[#This Row],[Courses - Planned vs Need (Active Courses)]],Table2[No Shows])</f>
        <v>42</v>
      </c>
      <c r="N20" s="79">
        <f>SUMIF(Table2[Course Title],Table3112[[#This Row],[Courses - Planned vs Need (Active Courses)]],Table2[Walk-ins])</f>
        <v>8</v>
      </c>
    </row>
    <row r="21" spans="2:14" ht="15.75">
      <c r="B21" s="145" t="s">
        <v>312</v>
      </c>
      <c r="C21" s="79"/>
      <c r="D21" s="79" t="s">
        <v>397</v>
      </c>
      <c r="E21" s="79">
        <f ca="1">COUNTIFS(Table2[Course Title],Table3112[[#This Row],[Courses - Planned vs Need (Active Courses)]],Table2[Remaining Courses],"0")</f>
        <v>7</v>
      </c>
      <c r="F21" s="133">
        <f ca="1">COUNTIFS(Table2[Course Title],Table3112[[#This Row],[Courses - Planned vs Need (Active Courses)]],Table2[Location],"Global Online",Table2[Remaining Courses],"0")</f>
        <v>7</v>
      </c>
      <c r="G21" s="79">
        <f ca="1">Table3112[[#This Row],[Course Offerings Todate]]-Table3112[[#This Row],[Online]]</f>
        <v>0</v>
      </c>
      <c r="H21" s="77">
        <v>100</v>
      </c>
      <c r="I21" s="79">
        <f ca="1">Table3112[[#This Row],[Course Offerings Todate]]*Table3112[[#This Row],[Quotas Per Convening]]</f>
        <v>700</v>
      </c>
      <c r="J21" s="79">
        <f>SUM(Table3112[[#This Row],[Total Grads]]+Table3112[[#This Row],[Fails]]+Table3112[[#This Row],[No Shows]])</f>
        <v>728</v>
      </c>
      <c r="K21" s="79">
        <f>SUMIF(Table2[Course Title],Table3112[[#This Row],[Courses - Planned vs Need (Active Courses)]],Table2[Graduates])</f>
        <v>601</v>
      </c>
      <c r="L21" s="79">
        <f>SUMIF(Table2[Course Title],Table3112[[#This Row],[Courses - Planned vs Need (Active Courses)]],Table2[Fail])</f>
        <v>25</v>
      </c>
      <c r="M21" s="79">
        <f>SUMIF(Table2[Course Title],Table3112[[#This Row],[Courses - Planned vs Need (Active Courses)]],Table2[No Shows])</f>
        <v>102</v>
      </c>
      <c r="N21" s="79">
        <f>SUMIF(Table2[Course Title],Table3112[[#This Row],[Courses - Planned vs Need (Active Courses)]],Table2[Walk-ins])</f>
        <v>15</v>
      </c>
    </row>
    <row r="22" spans="2:14" ht="15.75">
      <c r="B22" s="145" t="s">
        <v>6</v>
      </c>
      <c r="C22" s="79"/>
      <c r="D22" s="79" t="s">
        <v>397</v>
      </c>
      <c r="E22" s="79">
        <f ca="1">COUNTIFS(Table2[Course Title],Table3112[[#This Row],[Courses - Planned vs Need (Active Courses)]],Table2[Remaining Courses],"0")</f>
        <v>1</v>
      </c>
      <c r="F22" s="133">
        <f>COUNTIFS(Table2[Course Title],Table3112[[#This Row],[Courses - Planned vs Need (Active Courses)]],Table2[Location],"Global Online",Table2[Remaining Courses],"0")</f>
        <v>0</v>
      </c>
      <c r="G22" s="79">
        <f ca="1">Table3112[[#This Row],[Course Offerings Todate]]-Table3112[[#This Row],[Online]]</f>
        <v>1</v>
      </c>
      <c r="H22" s="77">
        <v>25</v>
      </c>
      <c r="I22" s="79">
        <f ca="1">Table3112[[#This Row],[Course Offerings Todate]]*Table3112[[#This Row],[Quotas Per Convening]]</f>
        <v>25</v>
      </c>
      <c r="J22" s="79">
        <f>SUM(Table3112[[#This Row],[Total Grads]]+Table3112[[#This Row],[Fails]]+Table3112[[#This Row],[No Shows]])</f>
        <v>18</v>
      </c>
      <c r="K22" s="79">
        <f>SUMIF(Table2[Course Title],Table3112[[#This Row],[Courses - Planned vs Need (Active Courses)]],Table2[Graduates])</f>
        <v>17</v>
      </c>
      <c r="L22" s="79">
        <f>SUMIF(Table2[Course Title],Table3112[[#This Row],[Courses - Planned vs Need (Active Courses)]],Table2[Fail])</f>
        <v>0</v>
      </c>
      <c r="M22" s="79">
        <f>SUMIF(Table2[Course Title],Table3112[[#This Row],[Courses - Planned vs Need (Active Courses)]],Table2[No Shows])</f>
        <v>1</v>
      </c>
      <c r="N22" s="79">
        <f>SUMIF(Table2[Course Title],Table3112[[#This Row],[Courses - Planned vs Need (Active Courses)]],Table2[Walk-ins])</f>
        <v>2</v>
      </c>
    </row>
    <row r="23" spans="2:14" ht="15.75">
      <c r="B23" s="145" t="s">
        <v>7</v>
      </c>
      <c r="C23" s="79"/>
      <c r="D23" s="79" t="s">
        <v>397</v>
      </c>
      <c r="E23" s="79">
        <f ca="1">COUNTIFS(Table2[Course Title],Table3112[[#This Row],[Courses - Planned vs Need (Active Courses)]],Table2[Remaining Courses],"0")</f>
        <v>2</v>
      </c>
      <c r="F23" s="133">
        <f ca="1">COUNTIFS(Table2[Course Title],Table3112[[#This Row],[Courses - Planned vs Need (Active Courses)]],Table2[Location],"Global Online",Table2[Remaining Courses],"0")</f>
        <v>1</v>
      </c>
      <c r="G23" s="79">
        <f ca="1">Table3112[[#This Row],[Course Offerings Todate]]-Table3112[[#This Row],[Online]]</f>
        <v>1</v>
      </c>
      <c r="H23" s="77">
        <v>30</v>
      </c>
      <c r="I23" s="79">
        <f ca="1">Table3112[[#This Row],[Course Offerings Todate]]*Table3112[[#This Row],[Quotas Per Convening]]</f>
        <v>60</v>
      </c>
      <c r="J23" s="79">
        <f>SUM(Table3112[[#This Row],[Total Grads]]+Table3112[[#This Row],[Fails]]+Table3112[[#This Row],[No Shows]])</f>
        <v>48</v>
      </c>
      <c r="K23" s="79">
        <f>SUMIF(Table2[Course Title],Table3112[[#This Row],[Courses - Planned vs Need (Active Courses)]],Table2[Graduates])</f>
        <v>46</v>
      </c>
      <c r="L23" s="79">
        <f>SUMIF(Table2[Course Title],Table3112[[#This Row],[Courses - Planned vs Need (Active Courses)]],Table2[Fail])</f>
        <v>0</v>
      </c>
      <c r="M23" s="79">
        <f>SUMIF(Table2[Course Title],Table3112[[#This Row],[Courses - Planned vs Need (Active Courses)]],Table2[No Shows])</f>
        <v>2</v>
      </c>
      <c r="N23" s="79">
        <f>SUMIF(Table2[Course Title],Table3112[[#This Row],[Courses - Planned vs Need (Active Courses)]],Table2[Walk-ins])</f>
        <v>0</v>
      </c>
    </row>
    <row r="24" spans="2:14" ht="15.75">
      <c r="B24" s="145" t="s">
        <v>8</v>
      </c>
      <c r="C24" s="79"/>
      <c r="D24" s="79" t="s">
        <v>397</v>
      </c>
      <c r="E24" s="79">
        <f ca="1">COUNTIFS(Table2[Course Title],Table3112[[#This Row],[Courses - Planned vs Need (Active Courses)]],Table2[Remaining Courses],"0")</f>
        <v>1</v>
      </c>
      <c r="F24" s="133">
        <f>COUNTIFS(Table2[Course Title],Table3112[[#This Row],[Courses - Planned vs Need (Active Courses)]],Table2[Location],"Global Online",Table2[Remaining Courses],"0")</f>
        <v>0</v>
      </c>
      <c r="G24" s="79">
        <f ca="1">Table3112[[#This Row],[Course Offerings Todate]]-Table3112[[#This Row],[Online]]</f>
        <v>1</v>
      </c>
      <c r="H24" s="77">
        <v>25</v>
      </c>
      <c r="I24" s="79">
        <f ca="1">Table3112[[#This Row],[Course Offerings Todate]]*Table3112[[#This Row],[Quotas Per Convening]]</f>
        <v>25</v>
      </c>
      <c r="J24" s="79">
        <f>SUM(Table3112[[#This Row],[Total Grads]]+Table3112[[#This Row],[Fails]]+Table3112[[#This Row],[No Shows]])</f>
        <v>11</v>
      </c>
      <c r="K24" s="79">
        <f>SUMIF(Table2[Course Title],Table3112[[#This Row],[Courses - Planned vs Need (Active Courses)]],Table2[Graduates])</f>
        <v>11</v>
      </c>
      <c r="L24" s="79">
        <f>SUMIF(Table2[Course Title],Table3112[[#This Row],[Courses - Planned vs Need (Active Courses)]],Table2[Fail])</f>
        <v>0</v>
      </c>
      <c r="M24" s="79">
        <f>SUMIF(Table2[Course Title],Table3112[[#This Row],[Courses - Planned vs Need (Active Courses)]],Table2[No Shows])</f>
        <v>0</v>
      </c>
      <c r="N24" s="79">
        <f>SUMIF(Table2[Course Title],Table3112[[#This Row],[Courses - Planned vs Need (Active Courses)]],Table2[Walk-ins])</f>
        <v>2</v>
      </c>
    </row>
    <row r="25" spans="2:14" ht="15.75">
      <c r="B25" s="145" t="s">
        <v>9</v>
      </c>
      <c r="C25" s="79"/>
      <c r="D25" s="79" t="s">
        <v>397</v>
      </c>
      <c r="E25" s="79">
        <f ca="1">COUNTIFS(Table2[Course Title],Table3112[[#This Row],[Courses - Planned vs Need (Active Courses)]],Table2[Remaining Courses],"0")</f>
        <v>2</v>
      </c>
      <c r="F25" s="133">
        <f ca="1">COUNTIFS(Table2[Course Title],Table3112[[#This Row],[Courses - Planned vs Need (Active Courses)]],Table2[Location],"Global Online",Table2[Remaining Courses],"0")</f>
        <v>1</v>
      </c>
      <c r="G25" s="79">
        <f ca="1">Table3112[[#This Row],[Course Offerings Todate]]-Table3112[[#This Row],[Online]]</f>
        <v>1</v>
      </c>
      <c r="H25" s="77">
        <v>30</v>
      </c>
      <c r="I25" s="79">
        <f ca="1">Table3112[[#This Row],[Course Offerings Todate]]*Table3112[[#This Row],[Quotas Per Convening]]</f>
        <v>60</v>
      </c>
      <c r="J25" s="79">
        <f>SUM(Table3112[[#This Row],[Total Grads]]+Table3112[[#This Row],[Fails]]+Table3112[[#This Row],[No Shows]])</f>
        <v>25</v>
      </c>
      <c r="K25" s="79">
        <f>SUMIF(Table2[Course Title],Table3112[[#This Row],[Courses - Planned vs Need (Active Courses)]],Table2[Graduates])</f>
        <v>24</v>
      </c>
      <c r="L25" s="79">
        <f>SUMIF(Table2[Course Title],Table3112[[#This Row],[Courses - Planned vs Need (Active Courses)]],Table2[Fail])</f>
        <v>0</v>
      </c>
      <c r="M25" s="79">
        <f>SUMIF(Table2[Course Title],Table3112[[#This Row],[Courses - Planned vs Need (Active Courses)]],Table2[No Shows])</f>
        <v>1</v>
      </c>
      <c r="N25" s="79">
        <f>SUMIF(Table2[Course Title],Table3112[[#This Row],[Courses - Planned vs Need (Active Courses)]],Table2[Walk-ins])</f>
        <v>0</v>
      </c>
    </row>
    <row r="26" spans="2:14" ht="15.75">
      <c r="B26" s="145" t="s">
        <v>10</v>
      </c>
      <c r="C26" s="79"/>
      <c r="D26" s="79" t="s">
        <v>397</v>
      </c>
      <c r="E26" s="79">
        <f ca="1">COUNTIFS(Table2[Course Title],Table3112[[#This Row],[Courses - Planned vs Need (Active Courses)]],Table2[Remaining Courses],"0")</f>
        <v>1</v>
      </c>
      <c r="F26" s="133">
        <f>COUNTIFS(Table2[Course Title],Table3112[[#This Row],[Courses - Planned vs Need (Active Courses)]],Table2[Location],"Global Online",Table2[Remaining Courses],"0")</f>
        <v>0</v>
      </c>
      <c r="G26" s="79">
        <f ca="1">Table3112[[#This Row],[Course Offerings Todate]]-Table3112[[#This Row],[Online]]</f>
        <v>1</v>
      </c>
      <c r="H26" s="77">
        <v>25</v>
      </c>
      <c r="I26" s="79">
        <f ca="1">Table3112[[#This Row],[Course Offerings Todate]]*Table3112[[#This Row],[Quotas Per Convening]]</f>
        <v>25</v>
      </c>
      <c r="J26" s="79">
        <f>SUM(Table3112[[#This Row],[Total Grads]]+Table3112[[#This Row],[Fails]]+Table3112[[#This Row],[No Shows]])</f>
        <v>10</v>
      </c>
      <c r="K26" s="79">
        <f>SUMIF(Table2[Course Title],Table3112[[#This Row],[Courses - Planned vs Need (Active Courses)]],Table2[Graduates])</f>
        <v>7</v>
      </c>
      <c r="L26" s="79">
        <f>SUMIF(Table2[Course Title],Table3112[[#This Row],[Courses - Planned vs Need (Active Courses)]],Table2[Fail])</f>
        <v>0</v>
      </c>
      <c r="M26" s="79">
        <f>SUMIF(Table2[Course Title],Table3112[[#This Row],[Courses - Planned vs Need (Active Courses)]],Table2[No Shows])</f>
        <v>3</v>
      </c>
      <c r="N26" s="79">
        <f>SUMIF(Table2[Course Title],Table3112[[#This Row],[Courses - Planned vs Need (Active Courses)]],Table2[Walk-ins])</f>
        <v>1</v>
      </c>
    </row>
    <row r="27" spans="2:14" ht="15.75">
      <c r="B27" s="145" t="s">
        <v>11</v>
      </c>
      <c r="C27" s="79"/>
      <c r="D27" s="79" t="s">
        <v>397</v>
      </c>
      <c r="E27" s="79">
        <f ca="1">COUNTIFS(Table2[Course Title],Table3112[[#This Row],[Courses - Planned vs Need (Active Courses)]],Table2[Remaining Courses],"0")</f>
        <v>2</v>
      </c>
      <c r="F27" s="133">
        <f ca="1">COUNTIFS(Table2[Course Title],Table3112[[#This Row],[Courses - Planned vs Need (Active Courses)]],Table2[Location],"Global Online",Table2[Remaining Courses],"0")</f>
        <v>1</v>
      </c>
      <c r="G27" s="79">
        <f ca="1">Table3112[[#This Row],[Course Offerings Todate]]-Table3112[[#This Row],[Online]]</f>
        <v>1</v>
      </c>
      <c r="H27" s="77">
        <v>30</v>
      </c>
      <c r="I27" s="79">
        <f ca="1">Table3112[[#This Row],[Course Offerings Todate]]*Table3112[[#This Row],[Quotas Per Convening]]</f>
        <v>60</v>
      </c>
      <c r="J27" s="79">
        <f>SUM(Table3112[[#This Row],[Total Grads]]+Table3112[[#This Row],[Fails]]+Table3112[[#This Row],[No Shows]])</f>
        <v>38</v>
      </c>
      <c r="K27" s="79">
        <f>SUMIF(Table2[Course Title],Table3112[[#This Row],[Courses - Planned vs Need (Active Courses)]],Table2[Graduates])</f>
        <v>36</v>
      </c>
      <c r="L27" s="79">
        <f>SUMIF(Table2[Course Title],Table3112[[#This Row],[Courses - Planned vs Need (Active Courses)]],Table2[Fail])</f>
        <v>0</v>
      </c>
      <c r="M27" s="79">
        <f>SUMIF(Table2[Course Title],Table3112[[#This Row],[Courses - Planned vs Need (Active Courses)]],Table2[No Shows])</f>
        <v>2</v>
      </c>
      <c r="N27" s="79">
        <f>SUMIF(Table2[Course Title],Table3112[[#This Row],[Courses - Planned vs Need (Active Courses)]],Table2[Walk-ins])</f>
        <v>0</v>
      </c>
    </row>
    <row r="28" spans="2:14" ht="15.75">
      <c r="B28" s="146" t="s">
        <v>14</v>
      </c>
      <c r="C28" s="79" t="s">
        <v>53</v>
      </c>
      <c r="D28" s="79" t="s">
        <v>397</v>
      </c>
      <c r="E28" s="79">
        <f ca="1">COUNTIFS(Table2[Course Title],Table3112[[#This Row],[Courses - Planned vs Need (Active Courses)]],Table2[Remaining Courses],"0")</f>
        <v>4</v>
      </c>
      <c r="F28" s="133">
        <f ca="1">COUNTIFS(Table2[Course Title],Table3112[[#This Row],[Courses - Planned vs Need (Active Courses)]],Table2[Location],"Global Online",Table2[Remaining Courses],"0")</f>
        <v>0</v>
      </c>
      <c r="G28" s="79">
        <f ca="1">Table3112[[#This Row],[Course Offerings Todate]]-Table3112[[#This Row],[Online]]</f>
        <v>4</v>
      </c>
      <c r="H28" s="77">
        <v>25</v>
      </c>
      <c r="I28" s="79">
        <f ca="1">Table3112[[#This Row],[Course Offerings Todate]]*Table3112[[#This Row],[Quotas Per Convening]]</f>
        <v>100</v>
      </c>
      <c r="J28" s="79">
        <f>SUM(Table3112[[#This Row],[Total Grads]]+Table3112[[#This Row],[Fails]]+Table3112[[#This Row],[No Shows]])</f>
        <v>58</v>
      </c>
      <c r="K28" s="79">
        <f>SUMIF(Table2[Course Title],Table3112[[#This Row],[Courses - Planned vs Need (Active Courses)]],Table2[Graduates])</f>
        <v>37</v>
      </c>
      <c r="L28" s="79">
        <f>SUMIF(Table2[Course Title],Table3112[[#This Row],[Courses - Planned vs Need (Active Courses)]],Table2[Fail])</f>
        <v>2</v>
      </c>
      <c r="M28" s="79">
        <f>SUMIF(Table2[Course Title],Table3112[[#This Row],[Courses - Planned vs Need (Active Courses)]],Table2[No Shows])</f>
        <v>19</v>
      </c>
      <c r="N28" s="79">
        <f>SUMIF(Table2[Course Title],Table3112[[#This Row],[Courses - Planned vs Need (Active Courses)]],Table2[Walk-ins])</f>
        <v>4</v>
      </c>
    </row>
    <row r="29" spans="2:14" ht="15.75">
      <c r="B29" s="145" t="s">
        <v>16</v>
      </c>
      <c r="C29" s="79"/>
      <c r="D29" s="79" t="s">
        <v>397</v>
      </c>
      <c r="E29" s="79">
        <f ca="1">COUNTIFS(Table2[Course Title],Table3112[[#This Row],[Courses - Planned vs Need (Active Courses)]],Table2[Remaining Courses],"0")</f>
        <v>0</v>
      </c>
      <c r="F29" s="133">
        <f>COUNTIFS(Table2[Course Title],Table3112[[#This Row],[Courses - Planned vs Need (Active Courses)]],Table2[Location],"Global Online",Table2[Remaining Courses],"0")</f>
        <v>0</v>
      </c>
      <c r="G29" s="79">
        <f ca="1">Table3112[[#This Row],[Course Offerings Todate]]-Table3112[[#This Row],[Online]]</f>
        <v>0</v>
      </c>
      <c r="H29" s="77">
        <v>25</v>
      </c>
      <c r="I29" s="79">
        <f ca="1">Table3112[[#This Row],[Course Offerings Todate]]*Table3112[[#This Row],[Quotas Per Convening]]</f>
        <v>0</v>
      </c>
      <c r="J29" s="79">
        <f>SUM(Table3112[[#This Row],[Total Grads]]+Table3112[[#This Row],[Fails]]+Table3112[[#This Row],[No Shows]])</f>
        <v>0</v>
      </c>
      <c r="K29" s="79">
        <f>SUMIF(Table2[Course Title],Table3112[[#This Row],[Courses - Planned vs Need (Active Courses)]],Table2[Graduates])</f>
        <v>0</v>
      </c>
      <c r="L29" s="79">
        <f>SUMIF(Table2[Course Title],Table3112[[#This Row],[Courses - Planned vs Need (Active Courses)]],Table2[Fail])</f>
        <v>0</v>
      </c>
      <c r="M29" s="79">
        <f>SUMIF(Table2[Course Title],Table3112[[#This Row],[Courses - Planned vs Need (Active Courses)]],Table2[No Shows])</f>
        <v>0</v>
      </c>
      <c r="N29" s="79">
        <f>SUMIF(Table2[Course Title],Table3112[[#This Row],[Courses - Planned vs Need (Active Courses)]],Table2[Walk-ins])</f>
        <v>0</v>
      </c>
    </row>
    <row r="30" spans="2:14" ht="15.75">
      <c r="B30" s="145" t="s">
        <v>28</v>
      </c>
      <c r="C30" s="79"/>
      <c r="D30" s="79" t="s">
        <v>397</v>
      </c>
      <c r="E30" s="79">
        <f ca="1">COUNTIFS(Table2[Course Title],Table3112[[#This Row],[Courses - Planned vs Need (Active Courses)]],Table2[Remaining Courses],"0")</f>
        <v>5</v>
      </c>
      <c r="F30" s="133">
        <f>COUNTIFS(Table2[Course Title],Table3112[[#This Row],[Courses - Planned vs Need (Active Courses)]],Table2[Location],"Global Online",Table2[Remaining Courses],"0")</f>
        <v>0</v>
      </c>
      <c r="G30" s="79">
        <f ca="1">Table3112[[#This Row],[Course Offerings Todate]]-Table3112[[#This Row],[Online]]</f>
        <v>5</v>
      </c>
      <c r="H30" s="77">
        <v>25</v>
      </c>
      <c r="I30" s="79">
        <f ca="1">Table3112[[#This Row],[Course Offerings Todate]]*Table3112[[#This Row],[Quotas Per Convening]]</f>
        <v>125</v>
      </c>
      <c r="J30" s="79">
        <f>SUM(Table3112[[#This Row],[Total Grads]]+Table3112[[#This Row],[Fails]]+Table3112[[#This Row],[No Shows]])</f>
        <v>67</v>
      </c>
      <c r="K30" s="79">
        <f>SUMIF(Table2[Course Title],Table3112[[#This Row],[Courses - Planned vs Need (Active Courses)]],Table2[Graduates])</f>
        <v>60</v>
      </c>
      <c r="L30" s="79">
        <f>SUMIF(Table2[Course Title],Table3112[[#This Row],[Courses - Planned vs Need (Active Courses)]],Table2[Fail])</f>
        <v>0</v>
      </c>
      <c r="M30" s="79">
        <f>SUMIF(Table2[Course Title],Table3112[[#This Row],[Courses - Planned vs Need (Active Courses)]],Table2[No Shows])</f>
        <v>7</v>
      </c>
      <c r="N30" s="79">
        <f>SUMIF(Table2[Course Title],Table3112[[#This Row],[Courses - Planned vs Need (Active Courses)]],Table2[Walk-ins])</f>
        <v>3</v>
      </c>
    </row>
    <row r="31" spans="2:14" ht="15.75">
      <c r="B31" s="145" t="s">
        <v>266</v>
      </c>
      <c r="C31" s="79"/>
      <c r="D31" s="79" t="s">
        <v>397</v>
      </c>
      <c r="E31" s="79">
        <f ca="1">COUNTIFS(Table2[Course Title],Table3112[[#This Row],[Courses - Planned vs Need (Active Courses)]],Table2[Remaining Courses],"0")</f>
        <v>8</v>
      </c>
      <c r="F31" s="133">
        <f ca="1">COUNTIFS(Table2[Course Title],Table3112[[#This Row],[Courses - Planned vs Need (Active Courses)]],Table2[Location],"Global Online",Table2[Remaining Courses],"0")</f>
        <v>8</v>
      </c>
      <c r="G31" s="79">
        <f ca="1">Table3112[[#This Row],[Course Offerings Todate]]-Table3112[[#This Row],[Online]]</f>
        <v>0</v>
      </c>
      <c r="H31" s="77">
        <v>40</v>
      </c>
      <c r="I31" s="79">
        <f ca="1">Table3112[[#This Row],[Course Offerings Todate]]*Table3112[[#This Row],[Quotas Per Convening]]</f>
        <v>320</v>
      </c>
      <c r="J31" s="79">
        <f>SUM(Table3112[[#This Row],[Total Grads]]+Table3112[[#This Row],[Fails]]+Table3112[[#This Row],[No Shows]])</f>
        <v>300</v>
      </c>
      <c r="K31" s="79">
        <f>SUMIF(Table2[Course Title],Table3112[[#This Row],[Courses - Planned vs Need (Active Courses)]],Table2[Graduates])</f>
        <v>243</v>
      </c>
      <c r="L31" s="79">
        <f>SUMIF(Table2[Course Title],Table3112[[#This Row],[Courses - Planned vs Need (Active Courses)]],Table2[Fail])</f>
        <v>4</v>
      </c>
      <c r="M31" s="79">
        <f>SUMIF(Table2[Course Title],Table3112[[#This Row],[Courses - Planned vs Need (Active Courses)]],Table2[No Shows])</f>
        <v>53</v>
      </c>
      <c r="N31" s="79">
        <f>SUMIF(Table2[Course Title],Table3112[[#This Row],[Courses - Planned vs Need (Active Courses)]],Table2[Walk-ins])</f>
        <v>6</v>
      </c>
    </row>
    <row r="32" spans="2:14" ht="15.75">
      <c r="B32" s="145" t="s">
        <v>270</v>
      </c>
      <c r="C32" s="79"/>
      <c r="D32" s="79" t="s">
        <v>397</v>
      </c>
      <c r="E32" s="79">
        <f ca="1">COUNTIFS(Table2[Course Title],Table3112[[#This Row],[Courses - Planned vs Need (Active Courses)]],Table2[Remaining Courses],"0")</f>
        <v>4</v>
      </c>
      <c r="F32" s="133">
        <f ca="1">COUNTIFS(Table2[Course Title],Table3112[[#This Row],[Courses - Planned vs Need (Active Courses)]],Table2[Location],"Global Online",Table2[Remaining Courses],"0")</f>
        <v>4</v>
      </c>
      <c r="G32" s="79">
        <f ca="1">Table3112[[#This Row],[Course Offerings Todate]]-Table3112[[#This Row],[Online]]</f>
        <v>0</v>
      </c>
      <c r="H32" s="77">
        <v>30</v>
      </c>
      <c r="I32" s="79">
        <f ca="1">Table3112[[#This Row],[Course Offerings Todate]]*Table3112[[#This Row],[Quotas Per Convening]]</f>
        <v>120</v>
      </c>
      <c r="J32" s="79">
        <f>SUM(Table3112[[#This Row],[Total Grads]]+Table3112[[#This Row],[Fails]]+Table3112[[#This Row],[No Shows]])</f>
        <v>126</v>
      </c>
      <c r="K32" s="79">
        <f>SUMIF(Table2[Course Title],Table3112[[#This Row],[Courses - Planned vs Need (Active Courses)]],Table2[Graduates])</f>
        <v>109</v>
      </c>
      <c r="L32" s="79">
        <f>SUMIF(Table2[Course Title],Table3112[[#This Row],[Courses - Planned vs Need (Active Courses)]],Table2[Fail])</f>
        <v>1</v>
      </c>
      <c r="M32" s="79">
        <f>SUMIF(Table2[Course Title],Table3112[[#This Row],[Courses - Planned vs Need (Active Courses)]],Table2[No Shows])</f>
        <v>16</v>
      </c>
      <c r="N32" s="79">
        <f>SUMIF(Table2[Course Title],Table3112[[#This Row],[Courses - Planned vs Need (Active Courses)]],Table2[Walk-ins])</f>
        <v>0</v>
      </c>
    </row>
    <row r="33" spans="2:14" ht="15.75">
      <c r="B33" s="145" t="s">
        <v>34</v>
      </c>
      <c r="C33" s="79"/>
      <c r="D33" s="79" t="s">
        <v>397</v>
      </c>
      <c r="E33" s="79">
        <f ca="1">COUNTIFS(Table2[Course Title],Table3112[[#This Row],[Courses - Planned vs Need (Active Courses)]],Table2[Remaining Courses],"0")</f>
        <v>7</v>
      </c>
      <c r="F33" s="133">
        <f ca="1">COUNTIFS(Table2[Course Title],Table3112[[#This Row],[Courses - Planned vs Need (Active Courses)]],Table2[Location],"Global Online",Table2[Remaining Courses],"0")</f>
        <v>7</v>
      </c>
      <c r="G33" s="79">
        <f ca="1">Table3112[[#This Row],[Course Offerings Todate]]-Table3112[[#This Row],[Online]]</f>
        <v>0</v>
      </c>
      <c r="H33" s="77">
        <v>30</v>
      </c>
      <c r="I33" s="79">
        <f ca="1">Table3112[[#This Row],[Course Offerings Todate]]*Table3112[[#This Row],[Quotas Per Convening]]</f>
        <v>210</v>
      </c>
      <c r="J33" s="79">
        <f>SUM(Table3112[[#This Row],[Total Grads]]+Table3112[[#This Row],[Fails]]+Table3112[[#This Row],[No Shows]])</f>
        <v>182</v>
      </c>
      <c r="K33" s="79">
        <f>SUMIF(Table2[Course Title],Table3112[[#This Row],[Courses - Planned vs Need (Active Courses)]],Table2[Graduates])</f>
        <v>154</v>
      </c>
      <c r="L33" s="79">
        <f>SUMIF(Table2[Course Title],Table3112[[#This Row],[Courses - Planned vs Need (Active Courses)]],Table2[Fail])</f>
        <v>5</v>
      </c>
      <c r="M33" s="79">
        <f>SUMIF(Table2[Course Title],Table3112[[#This Row],[Courses - Planned vs Need (Active Courses)]],Table2[No Shows])</f>
        <v>23</v>
      </c>
      <c r="N33" s="79">
        <f>SUMIF(Table2[Course Title],Table3112[[#This Row],[Courses - Planned vs Need (Active Courses)]],Table2[Walk-ins])</f>
        <v>0</v>
      </c>
    </row>
    <row r="34" spans="2:14" ht="15.75">
      <c r="B34" s="145" t="s">
        <v>38</v>
      </c>
      <c r="C34" s="79"/>
      <c r="D34" s="79" t="s">
        <v>397</v>
      </c>
      <c r="E34" s="79">
        <f ca="1">COUNTIFS(Table2[Course Title],Table3112[[#This Row],[Courses - Planned vs Need (Active Courses)]],Table2[Remaining Courses],"0")</f>
        <v>11</v>
      </c>
      <c r="F34" s="133">
        <f>COUNTIFS(Table2[Course Title],Table3112[[#This Row],[Courses - Planned vs Need (Active Courses)]],Table2[Location],"Global Online",Table2[Remaining Courses],"0")</f>
        <v>0</v>
      </c>
      <c r="G34" s="79">
        <f ca="1">Table3112[[#This Row],[Course Offerings Todate]]-Table3112[[#This Row],[Online]]</f>
        <v>11</v>
      </c>
      <c r="H34" s="77">
        <v>30</v>
      </c>
      <c r="I34" s="79">
        <f ca="1">Table3112[[#This Row],[Course Offerings Todate]]*Table3112[[#This Row],[Quotas Per Convening]]</f>
        <v>330</v>
      </c>
      <c r="J34" s="79">
        <f>SUM(Table3112[[#This Row],[Total Grads]]+Table3112[[#This Row],[Fails]]+Table3112[[#This Row],[No Shows]])</f>
        <v>275</v>
      </c>
      <c r="K34" s="79">
        <f>SUMIF(Table2[Course Title],Table3112[[#This Row],[Courses - Planned vs Need (Active Courses)]],Table2[Graduates])</f>
        <v>231</v>
      </c>
      <c r="L34" s="79">
        <f>SUMIF(Table2[Course Title],Table3112[[#This Row],[Courses - Planned vs Need (Active Courses)]],Table2[Fail])</f>
        <v>0</v>
      </c>
      <c r="M34" s="79">
        <f>SUMIF(Table2[Course Title],Table3112[[#This Row],[Courses - Planned vs Need (Active Courses)]],Table2[No Shows])</f>
        <v>44</v>
      </c>
      <c r="N34" s="79">
        <f>SUMIF(Table2[Course Title],Table3112[[#This Row],[Courses - Planned vs Need (Active Courses)]],Table2[Walk-ins])</f>
        <v>11</v>
      </c>
    </row>
    <row r="35" spans="2:14" ht="15.75">
      <c r="B35" s="145" t="s">
        <v>321</v>
      </c>
      <c r="C35" s="79"/>
      <c r="D35" s="79" t="s">
        <v>397</v>
      </c>
      <c r="E35" s="79">
        <f ca="1">COUNTIFS(Table2[Course Title],Table3112[[#This Row],[Courses - Planned vs Need (Active Courses)]],Table2[Remaining Courses],"0")</f>
        <v>2</v>
      </c>
      <c r="F35" s="133">
        <f ca="1">COUNTIFS(Table2[Course Title],Table3112[[#This Row],[Courses - Planned vs Need (Active Courses)]],Table2[Location],"Global Online",Table2[Remaining Courses],"0")</f>
        <v>2</v>
      </c>
      <c r="G35" s="79">
        <f ca="1">Table3112[[#This Row],[Course Offerings Todate]]-Table3112[[#This Row],[Online]]</f>
        <v>0</v>
      </c>
      <c r="H35" s="77">
        <v>25</v>
      </c>
      <c r="I35" s="79">
        <f ca="1">Table3112[[#This Row],[Course Offerings Todate]]*Table3112[[#This Row],[Quotas Per Convening]]</f>
        <v>50</v>
      </c>
      <c r="J35" s="79">
        <f>SUM(Table3112[[#This Row],[Total Grads]]+Table3112[[#This Row],[Fails]]+Table3112[[#This Row],[No Shows]])</f>
        <v>18</v>
      </c>
      <c r="K35" s="79">
        <f>SUMIF(Table2[Course Title],Table3112[[#This Row],[Courses - Planned vs Need (Active Courses)]],Table2[Graduates])</f>
        <v>13</v>
      </c>
      <c r="L35" s="79">
        <f>SUMIF(Table2[Course Title],Table3112[[#This Row],[Courses - Planned vs Need (Active Courses)]],Table2[Fail])</f>
        <v>0</v>
      </c>
      <c r="M35" s="79">
        <f>SUMIF(Table2[Course Title],Table3112[[#This Row],[Courses - Planned vs Need (Active Courses)]],Table2[No Shows])</f>
        <v>5</v>
      </c>
      <c r="N35" s="79">
        <f>SUMIF(Table2[Course Title],Table3112[[#This Row],[Courses - Planned vs Need (Active Courses)]],Table2[Walk-ins])</f>
        <v>0</v>
      </c>
    </row>
    <row r="36" spans="2:14" ht="15.75">
      <c r="B36" s="146" t="s">
        <v>236</v>
      </c>
      <c r="C36" s="79" t="s">
        <v>53</v>
      </c>
      <c r="D36" s="79" t="s">
        <v>397</v>
      </c>
      <c r="E36" s="79">
        <f ca="1">COUNTIFS(Table2[Course Title],Table3112[[#This Row],[Courses - Planned vs Need (Active Courses)]],Table2[Remaining Courses],"0")</f>
        <v>14</v>
      </c>
      <c r="F36" s="133">
        <f>COUNTIFS(Table2[Course Title],Table3112[[#This Row],[Courses - Planned vs Need (Active Courses)]],Table2[Location],"Global Online",Table2[Remaining Courses],"0")</f>
        <v>0</v>
      </c>
      <c r="G36" s="79">
        <f ca="1">Table3112[[#This Row],[Course Offerings Todate]]-Table3112[[#This Row],[Online]]</f>
        <v>14</v>
      </c>
      <c r="H36" s="77">
        <v>25</v>
      </c>
      <c r="I36" s="79">
        <f ca="1">Table3112[[#This Row],[Course Offerings Todate]]*Table3112[[#This Row],[Quotas Per Convening]]</f>
        <v>350</v>
      </c>
      <c r="J36" s="79">
        <f>SUM(Table3112[[#This Row],[Total Grads]]+Table3112[[#This Row],[Fails]]+Table3112[[#This Row],[No Shows]])</f>
        <v>304</v>
      </c>
      <c r="K36" s="79">
        <f>SUMIF(Table2[Course Title],Table3112[[#This Row],[Courses - Planned vs Need (Active Courses)]],Table2[Graduates])</f>
        <v>221</v>
      </c>
      <c r="L36" s="79">
        <f>SUMIF(Table2[Course Title],Table3112[[#This Row],[Courses - Planned vs Need (Active Courses)]],Table2[Fail])</f>
        <v>0</v>
      </c>
      <c r="M36" s="79">
        <f>SUMIF(Table2[Course Title],Table3112[[#This Row],[Courses - Planned vs Need (Active Courses)]],Table2[No Shows])</f>
        <v>83</v>
      </c>
      <c r="N36" s="79">
        <f>SUMIF(Table2[Course Title],Table3112[[#This Row],[Courses - Planned vs Need (Active Courses)]],Table2[Walk-ins])</f>
        <v>9</v>
      </c>
    </row>
    <row r="37" spans="2:14" ht="15.75">
      <c r="B37" s="146" t="s">
        <v>15</v>
      </c>
      <c r="C37" s="79" t="s">
        <v>53</v>
      </c>
      <c r="D37" s="79" t="s">
        <v>397</v>
      </c>
      <c r="E37" s="79">
        <f ca="1">COUNTIFS(Table2[Course Title],Table3112[[#This Row],[Courses - Planned vs Need (Active Courses)]],Table2[Remaining Courses],"0")</f>
        <v>1</v>
      </c>
      <c r="F37" s="133">
        <f>COUNTIFS(Table2[Course Title],Table3112[[#This Row],[Courses - Planned vs Need (Active Courses)]],Table2[Location],"Global Online",Table2[Remaining Courses],"0")</f>
        <v>0</v>
      </c>
      <c r="G37" s="79">
        <f ca="1">Table3112[[#This Row],[Course Offerings Todate]]-Table3112[[#This Row],[Online]]</f>
        <v>1</v>
      </c>
      <c r="H37" s="77">
        <v>35</v>
      </c>
      <c r="I37" s="79">
        <f ca="1">Table3112[[#This Row],[Course Offerings Todate]]*Table3112[[#This Row],[Quotas Per Convening]]</f>
        <v>35</v>
      </c>
      <c r="J37" s="79">
        <f>SUM(Table3112[[#This Row],[Total Grads]]+Table3112[[#This Row],[Fails]]+Table3112[[#This Row],[No Shows]])</f>
        <v>24</v>
      </c>
      <c r="K37" s="79">
        <f>SUMIF(Table2[Course Title],Table3112[[#This Row],[Courses - Planned vs Need (Active Courses)]],Table2[Graduates])</f>
        <v>19</v>
      </c>
      <c r="L37" s="79">
        <f>SUMIF(Table2[Course Title],Table3112[[#This Row],[Courses - Planned vs Need (Active Courses)]],Table2[Fail])</f>
        <v>0</v>
      </c>
      <c r="M37" s="79">
        <f>SUMIF(Table2[Course Title],Table3112[[#This Row],[Courses - Planned vs Need (Active Courses)]],Table2[No Shows])</f>
        <v>5</v>
      </c>
      <c r="N37" s="79">
        <f>SUMIF(Table2[Course Title],Table3112[[#This Row],[Courses - Planned vs Need (Active Courses)]],Table2[Walk-ins])</f>
        <v>0</v>
      </c>
    </row>
    <row r="38" spans="2:14" ht="15.75">
      <c r="B38" s="145" t="s">
        <v>19</v>
      </c>
      <c r="C38" s="79"/>
      <c r="D38" s="79" t="s">
        <v>397</v>
      </c>
      <c r="E38" s="79">
        <f ca="1">COUNTIFS(Table2[Course Title],Table3112[[#This Row],[Courses - Planned vs Need (Active Courses)]],Table2[Remaining Courses],"0")</f>
        <v>11</v>
      </c>
      <c r="F38" s="133">
        <f ca="1">COUNTIFS(Table2[Course Title],Table3112[[#This Row],[Courses - Planned vs Need (Active Courses)]],Table2[Location],"Global Online",Table2[Remaining Courses],"0")</f>
        <v>11</v>
      </c>
      <c r="G38" s="79">
        <f ca="1">Table3112[[#This Row],[Course Offerings Todate]]-Table3112[[#This Row],[Online]]</f>
        <v>0</v>
      </c>
      <c r="H38" s="77">
        <v>45</v>
      </c>
      <c r="I38" s="79">
        <f ca="1">Table3112[[#This Row],[Course Offerings Todate]]*Table3112[[#This Row],[Quotas Per Convening]]</f>
        <v>495</v>
      </c>
      <c r="J38" s="79">
        <f>SUM(Table3112[[#This Row],[Total Grads]]+Table3112[[#This Row],[Fails]]+Table3112[[#This Row],[No Shows]])</f>
        <v>411</v>
      </c>
      <c r="K38" s="79">
        <f>SUMIF(Table2[Course Title],Table3112[[#This Row],[Courses - Planned vs Need (Active Courses)]],Table2[Graduates])</f>
        <v>346</v>
      </c>
      <c r="L38" s="79">
        <f>SUMIF(Table2[Course Title],Table3112[[#This Row],[Courses - Planned vs Need (Active Courses)]],Table2[Fail])</f>
        <v>2</v>
      </c>
      <c r="M38" s="79">
        <f>SUMIF(Table2[Course Title],Table3112[[#This Row],[Courses - Planned vs Need (Active Courses)]],Table2[No Shows])</f>
        <v>63</v>
      </c>
      <c r="N38" s="79">
        <f>SUMIF(Table2[Course Title],Table3112[[#This Row],[Courses - Planned vs Need (Active Courses)]],Table2[Walk-ins])</f>
        <v>0</v>
      </c>
    </row>
    <row r="39" spans="2:14" ht="15.75">
      <c r="B39" s="146" t="s">
        <v>20</v>
      </c>
      <c r="C39" s="79" t="s">
        <v>53</v>
      </c>
      <c r="D39" s="79" t="s">
        <v>397</v>
      </c>
      <c r="E39" s="79">
        <f ca="1">COUNTIFS(Table2[Course Title],Table3112[[#This Row],[Courses - Planned vs Need (Active Courses)]],Table2[Remaining Courses],"0")</f>
        <v>5</v>
      </c>
      <c r="F39" s="133">
        <f>COUNTIFS(Table2[Course Title],Table3112[[#This Row],[Courses - Planned vs Need (Active Courses)]],Table2[Location],"Global Online",Table2[Remaining Courses],"0")</f>
        <v>0</v>
      </c>
      <c r="G39" s="79">
        <f ca="1">Table3112[[#This Row],[Course Offerings Todate]]-Table3112[[#This Row],[Online]]</f>
        <v>5</v>
      </c>
      <c r="H39" s="77">
        <v>30</v>
      </c>
      <c r="I39" s="79">
        <f ca="1">Table3112[[#This Row],[Course Offerings Todate]]*Table3112[[#This Row],[Quotas Per Convening]]</f>
        <v>150</v>
      </c>
      <c r="J39" s="79">
        <f>SUM(Table3112[[#This Row],[Total Grads]]+Table3112[[#This Row],[Fails]]+Table3112[[#This Row],[No Shows]])</f>
        <v>83</v>
      </c>
      <c r="K39" s="79">
        <f>SUMIF(Table2[Course Title],Table3112[[#This Row],[Courses - Planned vs Need (Active Courses)]],Table2[Graduates])</f>
        <v>65</v>
      </c>
      <c r="L39" s="79">
        <f>SUMIF(Table2[Course Title],Table3112[[#This Row],[Courses - Planned vs Need (Active Courses)]],Table2[Fail])</f>
        <v>0</v>
      </c>
      <c r="M39" s="79">
        <f>SUMIF(Table2[Course Title],Table3112[[#This Row],[Courses - Planned vs Need (Active Courses)]],Table2[No Shows])</f>
        <v>18</v>
      </c>
      <c r="N39" s="79">
        <f>SUMIF(Table2[Course Title],Table3112[[#This Row],[Courses - Planned vs Need (Active Courses)]],Table2[Walk-ins])</f>
        <v>0</v>
      </c>
    </row>
    <row r="40" spans="2:14" ht="15.75">
      <c r="B40" s="145" t="s">
        <v>242</v>
      </c>
      <c r="C40" s="79"/>
      <c r="D40" s="79" t="s">
        <v>397</v>
      </c>
      <c r="E40" s="79">
        <f ca="1">COUNTIFS(Table2[Course Title],Table3112[[#This Row],[Courses - Planned vs Need (Active Courses)]],Table2[Remaining Courses],"0")</f>
        <v>9</v>
      </c>
      <c r="F40" s="133">
        <f ca="1">COUNTIFS(Table2[Course Title],Table3112[[#This Row],[Courses - Planned vs Need (Active Courses)]],Table2[Location],"Global Online",Table2[Remaining Courses],"0")</f>
        <v>9</v>
      </c>
      <c r="G40" s="79">
        <f ca="1">Table3112[[#This Row],[Course Offerings Todate]]-Table3112[[#This Row],[Online]]</f>
        <v>0</v>
      </c>
      <c r="H40" s="77">
        <v>45</v>
      </c>
      <c r="I40" s="79">
        <f ca="1">Table3112[[#This Row],[Course Offerings Todate]]*Table3112[[#This Row],[Quotas Per Convening]]</f>
        <v>405</v>
      </c>
      <c r="J40" s="79">
        <f>SUM(Table3112[[#This Row],[Total Grads]]+Table3112[[#This Row],[Fails]]+Table3112[[#This Row],[No Shows]])</f>
        <v>274</v>
      </c>
      <c r="K40" s="79">
        <f>SUMIF(Table2[Course Title],Table3112[[#This Row],[Courses - Planned vs Need (Active Courses)]],Table2[Graduates])</f>
        <v>237</v>
      </c>
      <c r="L40" s="79">
        <f>SUMIF(Table2[Course Title],Table3112[[#This Row],[Courses - Planned vs Need (Active Courses)]],Table2[Fail])</f>
        <v>2</v>
      </c>
      <c r="M40" s="79">
        <f>SUMIF(Table2[Course Title],Table3112[[#This Row],[Courses - Planned vs Need (Active Courses)]],Table2[No Shows])</f>
        <v>35</v>
      </c>
      <c r="N40" s="79">
        <f>SUMIF(Table2[Course Title],Table3112[[#This Row],[Courses - Planned vs Need (Active Courses)]],Table2[Walk-ins])</f>
        <v>3</v>
      </c>
    </row>
    <row r="41" spans="2:14" ht="15.75">
      <c r="B41" s="145" t="s">
        <v>276</v>
      </c>
      <c r="C41" s="79"/>
      <c r="D41" s="79" t="s">
        <v>397</v>
      </c>
      <c r="E41" s="79">
        <f ca="1">COUNTIFS(Table2[Course Title],Table3112[[#This Row],[Courses - Planned vs Need (Active Courses)]],Table2[Remaining Courses],"0")</f>
        <v>12</v>
      </c>
      <c r="F41" s="133">
        <f ca="1">COUNTIFS(Table2[Course Title],Table3112[[#This Row],[Courses - Planned vs Need (Active Courses)]],Table2[Location],"Global Online",Table2[Remaining Courses],"0")</f>
        <v>12</v>
      </c>
      <c r="G41" s="79">
        <f ca="1">Table3112[[#This Row],[Course Offerings Todate]]-Table3112[[#This Row],[Online]]</f>
        <v>0</v>
      </c>
      <c r="H41" s="77">
        <v>45</v>
      </c>
      <c r="I41" s="79">
        <f ca="1">Table3112[[#This Row],[Course Offerings Todate]]*Table3112[[#This Row],[Quotas Per Convening]]</f>
        <v>540</v>
      </c>
      <c r="J41" s="79">
        <f>SUM(Table3112[[#This Row],[Total Grads]]+Table3112[[#This Row],[Fails]]+Table3112[[#This Row],[No Shows]])</f>
        <v>530</v>
      </c>
      <c r="K41" s="79">
        <f>SUMIF(Table2[Course Title],Table3112[[#This Row],[Courses - Planned vs Need (Active Courses)]],Table2[Graduates])</f>
        <v>426</v>
      </c>
      <c r="L41" s="79">
        <f>SUMIF(Table2[Course Title],Table3112[[#This Row],[Courses - Planned vs Need (Active Courses)]],Table2[Fail])</f>
        <v>7</v>
      </c>
      <c r="M41" s="79">
        <f>SUMIF(Table2[Course Title],Table3112[[#This Row],[Courses - Planned vs Need (Active Courses)]],Table2[No Shows])</f>
        <v>97</v>
      </c>
      <c r="N41" s="79">
        <f>SUMIF(Table2[Course Title],Table3112[[#This Row],[Courses - Planned vs Need (Active Courses)]],Table2[Walk-ins])</f>
        <v>16</v>
      </c>
    </row>
    <row r="42" spans="2:14" ht="15.75">
      <c r="B42" s="146" t="s">
        <v>284</v>
      </c>
      <c r="C42" s="79" t="s">
        <v>53</v>
      </c>
      <c r="D42" s="79" t="s">
        <v>397</v>
      </c>
      <c r="E42" s="79">
        <f ca="1">COUNTIFS(Table2[Course Title],Table3112[[#This Row],[Courses - Planned vs Need (Active Courses)]],Table2[Remaining Courses],"0")</f>
        <v>4</v>
      </c>
      <c r="F42" s="133">
        <f ca="1">COUNTIFS(Table2[Course Title],Table3112[[#This Row],[Courses - Planned vs Need (Active Courses)]],Table2[Location],"Global Online",Table2[Remaining Courses],"0")</f>
        <v>4</v>
      </c>
      <c r="G42" s="79">
        <f ca="1">Table3112[[#This Row],[Course Offerings Todate]]-Table3112[[#This Row],[Online]]</f>
        <v>0</v>
      </c>
      <c r="H42" s="77">
        <v>30</v>
      </c>
      <c r="I42" s="79">
        <f ca="1">Table3112[[#This Row],[Course Offerings Todate]]*Table3112[[#This Row],[Quotas Per Convening]]</f>
        <v>120</v>
      </c>
      <c r="J42" s="79">
        <f>SUM(Table3112[[#This Row],[Total Grads]]+Table3112[[#This Row],[Fails]]+Table3112[[#This Row],[No Shows]])</f>
        <v>110</v>
      </c>
      <c r="K42" s="79">
        <f>SUMIF(Table2[Course Title],Table3112[[#This Row],[Courses - Planned vs Need (Active Courses)]],Table2[Graduates])</f>
        <v>87</v>
      </c>
      <c r="L42" s="79">
        <f>SUMIF(Table2[Course Title],Table3112[[#This Row],[Courses - Planned vs Need (Active Courses)]],Table2[Fail])</f>
        <v>0</v>
      </c>
      <c r="M42" s="79">
        <f>SUMIF(Table2[Course Title],Table3112[[#This Row],[Courses - Planned vs Need (Active Courses)]],Table2[No Shows])</f>
        <v>23</v>
      </c>
      <c r="N42" s="79">
        <f>SUMIF(Table2[Course Title],Table3112[[#This Row],[Courses - Planned vs Need (Active Courses)]],Table2[Walk-ins])</f>
        <v>0</v>
      </c>
    </row>
    <row r="43" spans="2:14" ht="15.75">
      <c r="B43" s="145" t="s">
        <v>287</v>
      </c>
      <c r="C43" s="79"/>
      <c r="D43" s="79" t="s">
        <v>397</v>
      </c>
      <c r="E43" s="79">
        <f ca="1">COUNTIFS(Table2[Course Title],Table3112[[#This Row],[Courses - Planned vs Need (Active Courses)]],Table2[Remaining Courses],"0")</f>
        <v>13</v>
      </c>
      <c r="F43" s="133">
        <f ca="1">COUNTIFS(Table2[Course Title],Table3112[[#This Row],[Courses - Planned vs Need (Active Courses)]],Table2[Location],"Global Online",Table2[Remaining Courses],"0")</f>
        <v>13</v>
      </c>
      <c r="G43" s="79">
        <f ca="1">Table3112[[#This Row],[Course Offerings Todate]]-Table3112[[#This Row],[Online]]</f>
        <v>0</v>
      </c>
      <c r="H43" s="77">
        <v>45</v>
      </c>
      <c r="I43" s="79">
        <f ca="1">Table3112[[#This Row],[Course Offerings Todate]]*Table3112[[#This Row],[Quotas Per Convening]]</f>
        <v>585</v>
      </c>
      <c r="J43" s="79">
        <f>SUM(Table3112[[#This Row],[Total Grads]]+Table3112[[#This Row],[Fails]]+Table3112[[#This Row],[No Shows]])</f>
        <v>468</v>
      </c>
      <c r="K43" s="79">
        <f>SUMIF(Table2[Course Title],Table3112[[#This Row],[Courses - Planned vs Need (Active Courses)]],Table2[Graduates])</f>
        <v>416</v>
      </c>
      <c r="L43" s="79">
        <f>SUMIF(Table2[Course Title],Table3112[[#This Row],[Courses - Planned vs Need (Active Courses)]],Table2[Fail])</f>
        <v>3</v>
      </c>
      <c r="M43" s="79">
        <f>SUMIF(Table2[Course Title],Table3112[[#This Row],[Courses - Planned vs Need (Active Courses)]],Table2[No Shows])</f>
        <v>49</v>
      </c>
      <c r="N43" s="79">
        <f>SUMIF(Table2[Course Title],Table3112[[#This Row],[Courses - Planned vs Need (Active Courses)]],Table2[Walk-ins])</f>
        <v>1</v>
      </c>
    </row>
    <row r="44" spans="2:14" ht="15.75">
      <c r="B44" s="148" t="s">
        <v>58</v>
      </c>
      <c r="C44" s="139"/>
      <c r="D44" s="139"/>
      <c r="E44" s="139">
        <f ca="1">SUM(Table3112[Course Offerings Todate])</f>
        <v>196</v>
      </c>
      <c r="F44" s="140">
        <f ca="1">SUM(Table3112[Online])</f>
        <v>113</v>
      </c>
      <c r="G44" s="140">
        <f ca="1">SUM(Table3112[Resident])</f>
        <v>83</v>
      </c>
      <c r="H44" s="140"/>
      <c r="I44" s="140"/>
      <c r="J44" s="140"/>
      <c r="K44" s="140">
        <f>SUM(Table3112[Total Grads])</f>
        <v>4812</v>
      </c>
      <c r="L44" s="140">
        <f>SUBTOTAL(109,Table3112[Fails])</f>
        <v>85</v>
      </c>
      <c r="M44" s="140">
        <f>SUM(Table3112[No Shows])</f>
        <v>893</v>
      </c>
      <c r="N44" s="140">
        <f>SUM(Table3112[Walk-ins])</f>
        <v>319</v>
      </c>
    </row>
  </sheetData>
  <mergeCells count="2">
    <mergeCell ref="B4:G4"/>
    <mergeCell ref="K4:N4"/>
  </mergeCells>
  <conditionalFormatting sqref="C6:G6 I6:M6 C7:D15 G7:G15 I7:I15 E7:F43 J7:M43 C18:D43 G18:G43 I18:I43">
    <cfRule type="cellIs" dxfId="906" priority="3" operator="lessThan">
      <formula>0</formula>
    </cfRule>
  </conditionalFormatting>
  <conditionalFormatting sqref="H6:H15">
    <cfRule type="cellIs" dxfId="905" priority="2" operator="lessThan">
      <formula>0</formula>
    </cfRule>
  </conditionalFormatting>
  <conditionalFormatting sqref="H18:H43">
    <cfRule type="cellIs" dxfId="904" priority="1" operator="lessThan">
      <formula>0</formula>
    </cfRule>
  </conditionalFormatting>
  <dataValidations count="1">
    <dataValidation type="list" allowBlank="1" showInputMessage="1" showErrorMessage="1" sqref="B6:B15 B18:B43" xr:uid="{00000000-0002-0000-0B00-000000000000}">
      <formula1>Class</formula1>
    </dataValidation>
  </dataValidations>
  <pageMargins left="0.7" right="0.7" top="0.75" bottom="0.75" header="0.3" footer="0.3"/>
  <tableParts count="1">
    <tablePart r:id="rId1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0000"/>
  </sheetPr>
  <dimension ref="A1:F8"/>
  <sheetViews>
    <sheetView workbookViewId="0">
      <selection activeCell="B10" sqref="B10"/>
    </sheetView>
  </sheetViews>
  <sheetFormatPr defaultRowHeight="15"/>
  <cols>
    <col min="1" max="1" width="18" customWidth="1"/>
    <col min="2" max="2" width="18.42578125" customWidth="1"/>
    <col min="3" max="3" width="11" customWidth="1"/>
    <col min="4" max="4" width="16.85546875" customWidth="1"/>
    <col min="5" max="7" width="18.140625" bestFit="1" customWidth="1"/>
    <col min="8" max="8" width="11.28515625" bestFit="1" customWidth="1"/>
  </cols>
  <sheetData>
    <row r="1" spans="1:6">
      <c r="A1" s="6" t="s">
        <v>177</v>
      </c>
      <c r="B1" t="s">
        <v>398</v>
      </c>
    </row>
    <row r="3" spans="1:6">
      <c r="A3" t="s">
        <v>399</v>
      </c>
      <c r="B3" t="s">
        <v>400</v>
      </c>
      <c r="C3" t="s">
        <v>401</v>
      </c>
      <c r="D3" t="s">
        <v>402</v>
      </c>
    </row>
    <row r="4" spans="1:6">
      <c r="A4">
        <v>6290</v>
      </c>
      <c r="B4" s="17">
        <v>4628</v>
      </c>
      <c r="C4">
        <v>86</v>
      </c>
      <c r="D4">
        <v>881</v>
      </c>
    </row>
    <row r="5" spans="1:6">
      <c r="B5" s="5" t="s">
        <v>403</v>
      </c>
    </row>
    <row r="7" spans="1:6">
      <c r="D7" s="102" t="s">
        <v>404</v>
      </c>
      <c r="E7" s="102">
        <f>GETPIVOTDATA("Sum of Graduates",$A$3)+GETPIVOTDATA("Sum of Fail",$A$3)</f>
        <v>4714</v>
      </c>
      <c r="F7" s="103">
        <f>E7/GETPIVOTDATA("Sum of Quotas",$A$3)</f>
        <v>0.74944356120826705</v>
      </c>
    </row>
    <row r="8" spans="1:6">
      <c r="D8" s="102" t="s">
        <v>405</v>
      </c>
      <c r="E8" s="102">
        <f>GETPIVOTDATA("Sum of Graduates",$A$3)+GETPIVOTDATA("Sum of Fail",$A$3)+GETPIVOTDATA("Sum of No Shows",$A$3)</f>
        <v>5595</v>
      </c>
      <c r="F8" s="103">
        <f>E8/GETPIVOTDATA("Sum of Quotas",$A$3)</f>
        <v>0.88950715421303661</v>
      </c>
    </row>
  </sheetData>
  <pageMargins left="0.7" right="0.7" top="0.75" bottom="0.75" header="0.3" footer="0.3"/>
  <pageSetup orientation="portrait"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F138"/>
  <sheetViews>
    <sheetView topLeftCell="A131" workbookViewId="0">
      <selection activeCell="B148" sqref="B148"/>
    </sheetView>
  </sheetViews>
  <sheetFormatPr defaultRowHeight="15"/>
  <cols>
    <col min="1" max="1" width="23.5703125" customWidth="1"/>
    <col min="2" max="2" width="50.85546875" bestFit="1" customWidth="1"/>
    <col min="3" max="3" width="11.28515625" bestFit="1" customWidth="1"/>
    <col min="4" max="4" width="13.28515625" customWidth="1"/>
    <col min="5" max="5" width="25.42578125" customWidth="1"/>
    <col min="6" max="6" width="11.42578125" style="190" bestFit="1" customWidth="1"/>
    <col min="7" max="7" width="11.42578125" bestFit="1" customWidth="1"/>
    <col min="8" max="8" width="12.5703125" bestFit="1" customWidth="1"/>
    <col min="15" max="15" width="17.7109375" bestFit="1" customWidth="1"/>
    <col min="16" max="16" width="11.42578125" bestFit="1" customWidth="1"/>
    <col min="17" max="17" width="11.5703125" customWidth="1"/>
    <col min="20" max="20" width="4.28515625" bestFit="1" customWidth="1"/>
    <col min="22" max="22" width="8.85546875" bestFit="1" customWidth="1"/>
    <col min="30" max="30" width="3.28515625" bestFit="1" customWidth="1"/>
    <col min="31" max="32" width="2.28515625" bestFit="1" customWidth="1"/>
  </cols>
  <sheetData>
    <row r="1" spans="1:32" ht="90">
      <c r="A1" s="176" t="s">
        <v>378</v>
      </c>
      <c r="B1" s="177" t="s">
        <v>97</v>
      </c>
      <c r="C1" s="176" t="s">
        <v>167</v>
      </c>
      <c r="D1" s="178" t="s">
        <v>406</v>
      </c>
      <c r="E1" s="176" t="s">
        <v>175</v>
      </c>
      <c r="F1" s="185" t="s">
        <v>407</v>
      </c>
      <c r="G1" s="122" t="s">
        <v>408</v>
      </c>
      <c r="H1" s="122" t="s">
        <v>409</v>
      </c>
      <c r="I1" s="122" t="s">
        <v>410</v>
      </c>
      <c r="J1" s="122" t="s">
        <v>411</v>
      </c>
      <c r="K1" s="122" t="s">
        <v>412</v>
      </c>
      <c r="L1" s="122" t="s">
        <v>413</v>
      </c>
      <c r="M1" s="122" t="s">
        <v>414</v>
      </c>
      <c r="N1" s="122" t="s">
        <v>415</v>
      </c>
      <c r="O1" s="176" t="s">
        <v>75</v>
      </c>
      <c r="P1" s="176" t="s">
        <v>76</v>
      </c>
      <c r="Q1" s="179" t="s">
        <v>169</v>
      </c>
      <c r="R1" s="179" t="s">
        <v>416</v>
      </c>
      <c r="S1" s="177" t="s">
        <v>417</v>
      </c>
      <c r="T1" s="177" t="s">
        <v>418</v>
      </c>
      <c r="U1" s="177" t="s">
        <v>365</v>
      </c>
      <c r="V1" s="177" t="s">
        <v>386</v>
      </c>
      <c r="W1" s="177" t="s">
        <v>419</v>
      </c>
      <c r="X1" s="177" t="s">
        <v>177</v>
      </c>
      <c r="Y1" s="177" t="s">
        <v>420</v>
      </c>
      <c r="Z1" s="177" t="s">
        <v>421</v>
      </c>
      <c r="AA1" s="177" t="s">
        <v>422</v>
      </c>
    </row>
    <row r="2" spans="1:32">
      <c r="A2" s="9" t="s">
        <v>423</v>
      </c>
      <c r="B2" s="10" t="s">
        <v>28</v>
      </c>
      <c r="C2" s="2" t="e">
        <f>VLOOKUP(Table2[[#This Row],[Course Title]],Data!$A$1:$E$56,2,FALSE)</f>
        <v>#VALUE!</v>
      </c>
      <c r="D2" s="3">
        <v>5891</v>
      </c>
      <c r="E2" s="172" t="s">
        <v>424</v>
      </c>
      <c r="F2" s="186">
        <v>45209</v>
      </c>
      <c r="G2" s="11">
        <v>45211</v>
      </c>
      <c r="H2" s="112">
        <v>0.33333333333333331</v>
      </c>
      <c r="I2" s="112"/>
      <c r="J2" s="11"/>
      <c r="K2" s="11"/>
      <c r="L2" s="11"/>
      <c r="M2" s="11"/>
      <c r="N2" s="11"/>
      <c r="O2" s="10" t="s">
        <v>84</v>
      </c>
      <c r="P2" s="10" t="s">
        <v>187</v>
      </c>
      <c r="Q2" s="16" t="e">
        <v>#REF!</v>
      </c>
      <c r="R2" s="16" t="e">
        <v>#REF!</v>
      </c>
      <c r="S2" s="171"/>
      <c r="T2" s="9"/>
      <c r="U2" s="9"/>
      <c r="V2" s="117"/>
      <c r="W2" s="117"/>
      <c r="X2" s="117"/>
      <c r="Y2" s="119"/>
      <c r="Z2" s="117"/>
      <c r="AA2" s="117"/>
      <c r="AB2" s="117"/>
      <c r="AC2" s="72"/>
      <c r="AD2" s="50" t="e">
        <f ca="1">Table2[[#This Row],[End Date]]+2-TODAY()</f>
        <v>#VALUE!</v>
      </c>
      <c r="AE2" s="116">
        <f>IF(ISBLANK(#REF!),1,0)</f>
        <v>0</v>
      </c>
      <c r="AF2" s="116" t="e">
        <f ca="1">IF(Table2[[#This Row],[Start Date]]&gt;TODAY(),1,)</f>
        <v>#VALUE!</v>
      </c>
    </row>
    <row r="3" spans="1:32">
      <c r="A3" t="s">
        <v>425</v>
      </c>
      <c r="B3" t="s">
        <v>426</v>
      </c>
      <c r="C3" t="s">
        <v>219</v>
      </c>
      <c r="D3" s="184" t="s">
        <v>220</v>
      </c>
      <c r="E3" t="s">
        <v>124</v>
      </c>
      <c r="F3" s="186">
        <v>45215</v>
      </c>
      <c r="G3" s="11">
        <v>45219</v>
      </c>
      <c r="H3" s="112">
        <v>0.33333333333333331</v>
      </c>
      <c r="O3" t="s">
        <v>95</v>
      </c>
    </row>
    <row r="4" spans="1:32">
      <c r="A4" s="9" t="s">
        <v>427</v>
      </c>
      <c r="B4" s="10" t="s">
        <v>236</v>
      </c>
      <c r="C4" s="2" t="s">
        <v>237</v>
      </c>
      <c r="D4" s="184" t="s">
        <v>238</v>
      </c>
      <c r="E4" s="110" t="s">
        <v>133</v>
      </c>
      <c r="F4" s="186">
        <v>45222</v>
      </c>
      <c r="G4" s="11">
        <v>45226</v>
      </c>
      <c r="H4" s="112">
        <v>0.33333333333333331</v>
      </c>
      <c r="I4" s="112"/>
      <c r="J4" s="11"/>
      <c r="K4" s="11"/>
      <c r="L4" s="11"/>
      <c r="M4" s="11"/>
      <c r="N4" s="11"/>
      <c r="O4" s="10" t="s">
        <v>94</v>
      </c>
      <c r="P4" s="10"/>
      <c r="Q4" t="e">
        <v>#REF!</v>
      </c>
      <c r="R4" s="15" t="e">
        <v>#REF!</v>
      </c>
      <c r="S4" s="171"/>
      <c r="T4" s="9"/>
      <c r="U4" s="9"/>
      <c r="V4" s="117"/>
      <c r="W4" s="117"/>
      <c r="X4" s="117"/>
      <c r="Y4" s="119"/>
      <c r="Z4" s="117"/>
      <c r="AA4" s="117"/>
      <c r="AB4" s="117"/>
      <c r="AC4" s="72"/>
      <c r="AD4" s="50">
        <f ca="1">Table2[[#This Row],[End Date]]+2-TODAY()</f>
        <v>-192</v>
      </c>
      <c r="AE4" s="116">
        <f>IF(ISBLANK(#REF!),1,0)</f>
        <v>0</v>
      </c>
      <c r="AF4" s="116">
        <f ca="1">IF(Table2[[#This Row],[Start Date]]&gt;TODAY(),1,)</f>
        <v>0</v>
      </c>
    </row>
    <row r="5" spans="1:32">
      <c r="A5" s="9" t="s">
        <v>428</v>
      </c>
      <c r="B5" s="10" t="s">
        <v>16</v>
      </c>
      <c r="C5" s="2" t="str">
        <f>VLOOKUP(Table2[[#This Row],[Course Title]],Data!$A$1:$E$56,2,FALSE)</f>
        <v>A-493-0103</v>
      </c>
      <c r="D5" s="3" t="s">
        <v>230</v>
      </c>
      <c r="E5" s="110" t="s">
        <v>140</v>
      </c>
      <c r="F5" s="186">
        <v>45237</v>
      </c>
      <c r="G5" s="11">
        <v>45238</v>
      </c>
      <c r="H5" s="112">
        <v>0.33333333333333331</v>
      </c>
      <c r="I5" s="112"/>
      <c r="J5" s="11"/>
      <c r="K5" s="11"/>
      <c r="L5" s="11"/>
      <c r="M5" s="11"/>
      <c r="N5" s="11"/>
      <c r="O5" s="10" t="s">
        <v>81</v>
      </c>
      <c r="P5" s="10" t="s">
        <v>90</v>
      </c>
      <c r="Q5" s="15" t="e">
        <v>#REF!</v>
      </c>
      <c r="R5" s="15" t="e">
        <v>#REF!</v>
      </c>
      <c r="S5" s="15"/>
      <c r="T5" s="9"/>
      <c r="U5" s="9"/>
      <c r="V5" s="117"/>
      <c r="W5" s="117"/>
      <c r="X5" s="117"/>
      <c r="Y5" s="119"/>
      <c r="Z5" s="117"/>
      <c r="AA5" s="117"/>
      <c r="AB5" s="117"/>
      <c r="AC5" s="10"/>
      <c r="AD5" s="50">
        <f ca="1">Table2[[#This Row],[End Date]]+2-TODAY()</f>
        <v>-192</v>
      </c>
      <c r="AE5" s="116">
        <f>IF(ISBLANK(#REF!),1,0)</f>
        <v>0</v>
      </c>
      <c r="AF5" s="116">
        <f ca="1">IF(Table2[[#This Row],[Start Date]]&gt;TODAY(),1,)</f>
        <v>0</v>
      </c>
    </row>
    <row r="6" spans="1:32">
      <c r="A6" t="s">
        <v>429</v>
      </c>
      <c r="B6" t="s">
        <v>236</v>
      </c>
      <c r="C6" t="s">
        <v>237</v>
      </c>
      <c r="D6" s="184" t="s">
        <v>238</v>
      </c>
      <c r="E6" t="s">
        <v>111</v>
      </c>
      <c r="F6" s="186">
        <v>45243</v>
      </c>
      <c r="G6" s="11">
        <v>45247</v>
      </c>
      <c r="H6" s="112">
        <v>800</v>
      </c>
      <c r="O6" t="s">
        <v>94</v>
      </c>
      <c r="Q6" t="e">
        <v>#REF!</v>
      </c>
      <c r="R6" t="e">
        <v>#REF!</v>
      </c>
    </row>
    <row r="7" spans="1:32">
      <c r="A7" s="9"/>
      <c r="B7" s="10" t="s">
        <v>24</v>
      </c>
      <c r="C7" s="2" t="s">
        <v>254</v>
      </c>
      <c r="D7" s="3" t="s">
        <v>255</v>
      </c>
      <c r="E7" s="10" t="s">
        <v>116</v>
      </c>
      <c r="F7" s="188">
        <v>45244</v>
      </c>
      <c r="G7" s="108">
        <v>45244</v>
      </c>
      <c r="H7" s="108"/>
      <c r="I7" s="111">
        <v>0.33333333333333331</v>
      </c>
      <c r="J7" s="111">
        <v>0.20833333333333334</v>
      </c>
      <c r="K7" s="111">
        <v>0.66666666666666663</v>
      </c>
      <c r="L7" s="111">
        <v>0.58333333333333337</v>
      </c>
      <c r="M7" s="111">
        <v>0.125</v>
      </c>
      <c r="N7" s="111">
        <v>0.91666666666666663</v>
      </c>
      <c r="O7" s="10" t="s">
        <v>78</v>
      </c>
      <c r="P7" s="10"/>
      <c r="Q7" s="117">
        <v>30</v>
      </c>
      <c r="R7" s="117">
        <v>1</v>
      </c>
      <c r="S7" s="117"/>
      <c r="T7" s="119"/>
      <c r="U7" s="117"/>
      <c r="V7" s="117"/>
      <c r="W7" s="117"/>
      <c r="X7" s="72"/>
      <c r="Y7" s="50">
        <v>2</v>
      </c>
      <c r="Z7" s="116">
        <v>1</v>
      </c>
      <c r="AA7" s="116">
        <v>0</v>
      </c>
      <c r="AB7" s="13"/>
      <c r="AC7" s="13"/>
      <c r="AD7" s="13"/>
      <c r="AE7" s="13"/>
      <c r="AF7" s="13"/>
    </row>
    <row r="8" spans="1:32">
      <c r="A8" t="s">
        <v>429</v>
      </c>
      <c r="B8" t="s">
        <v>236</v>
      </c>
      <c r="C8" t="s">
        <v>237</v>
      </c>
      <c r="D8" s="184" t="s">
        <v>238</v>
      </c>
      <c r="E8" t="s">
        <v>218</v>
      </c>
      <c r="F8" s="186">
        <v>45264</v>
      </c>
      <c r="G8" s="11">
        <v>45268</v>
      </c>
      <c r="H8" s="112">
        <v>0.33333333333333331</v>
      </c>
      <c r="O8" t="s">
        <v>94</v>
      </c>
      <c r="Q8" t="e">
        <v>#REF!</v>
      </c>
      <c r="R8" t="e">
        <v>#REF!</v>
      </c>
    </row>
    <row r="9" spans="1:32">
      <c r="A9" t="s">
        <v>430</v>
      </c>
      <c r="B9" t="s">
        <v>236</v>
      </c>
      <c r="C9" t="s">
        <v>237</v>
      </c>
      <c r="D9" s="184" t="s">
        <v>238</v>
      </c>
      <c r="E9" t="s">
        <v>251</v>
      </c>
      <c r="F9" s="186">
        <v>45264</v>
      </c>
      <c r="G9" s="11">
        <v>45268</v>
      </c>
      <c r="H9" s="112">
        <v>0.33333333333333331</v>
      </c>
      <c r="O9" t="s">
        <v>94</v>
      </c>
    </row>
    <row r="10" spans="1:32" s="74" customFormat="1" ht="14.25" customHeight="1">
      <c r="A10" s="9" t="s">
        <v>431</v>
      </c>
      <c r="B10" s="4" t="s">
        <v>19</v>
      </c>
      <c r="C10" s="2" t="str">
        <f>VLOOKUP(Table2[[#This Row],[Course Title]],Data!$A$1:$E$56,2,FALSE)</f>
        <v>A-493-0072</v>
      </c>
      <c r="D10" s="3" t="s">
        <v>235</v>
      </c>
      <c r="E10" s="10" t="s">
        <v>116</v>
      </c>
      <c r="F10" s="186">
        <v>45265</v>
      </c>
      <c r="G10" s="11">
        <v>45267</v>
      </c>
      <c r="H10" s="11"/>
      <c r="I10" s="111">
        <v>0.33333333333333331</v>
      </c>
      <c r="J10" s="111">
        <v>0.20833333333333334</v>
      </c>
      <c r="K10" s="111">
        <v>0.66666666666666663</v>
      </c>
      <c r="L10" s="111">
        <v>0.58333333333333337</v>
      </c>
      <c r="M10" s="111">
        <v>0.125</v>
      </c>
      <c r="N10" s="111">
        <v>0.91666666666666663</v>
      </c>
      <c r="O10" s="10" t="s">
        <v>88</v>
      </c>
      <c r="P10" s="10"/>
      <c r="Q10" s="15" t="e">
        <v>#REF!</v>
      </c>
      <c r="R10" s="15" t="e">
        <v>#REF!</v>
      </c>
      <c r="S10" s="171"/>
      <c r="T10" s="9"/>
      <c r="U10" s="9"/>
      <c r="V10" s="117"/>
      <c r="W10" s="117"/>
      <c r="X10" s="117"/>
      <c r="Y10" s="119"/>
      <c r="Z10" s="117"/>
      <c r="AA10" s="117"/>
      <c r="AB10" s="117"/>
      <c r="AC10" s="72"/>
      <c r="AD10" s="50">
        <f ca="1">Table2[[#This Row],[End Date]]+2-TODAY()</f>
        <v>-193</v>
      </c>
      <c r="AE10" s="116">
        <f>IF(ISBLANK(#REF!),1,0)</f>
        <v>0</v>
      </c>
      <c r="AF10" s="116">
        <f ca="1">IF(Table2[[#This Row],[Start Date]]&gt;TODAY(),1,)</f>
        <v>0</v>
      </c>
    </row>
    <row r="11" spans="1:32" s="52" customFormat="1">
      <c r="A11"/>
      <c r="B11" t="s">
        <v>20</v>
      </c>
      <c r="C11" t="s">
        <v>240</v>
      </c>
      <c r="D11" s="184" t="s">
        <v>241</v>
      </c>
      <c r="E11" t="s">
        <v>121</v>
      </c>
      <c r="F11" s="189">
        <v>45265</v>
      </c>
      <c r="G11" s="181">
        <v>45268</v>
      </c>
      <c r="H11" s="111">
        <v>0.33333333333333331</v>
      </c>
      <c r="I11"/>
      <c r="J11"/>
      <c r="K11"/>
      <c r="L11"/>
      <c r="M11"/>
      <c r="N11"/>
      <c r="O11" t="s">
        <v>94</v>
      </c>
      <c r="P11"/>
      <c r="Q11" s="117" t="e">
        <v>#REF!</v>
      </c>
      <c r="R11" s="117" t="e">
        <v>#REF!</v>
      </c>
      <c r="S11"/>
      <c r="T11"/>
      <c r="U11"/>
      <c r="V11">
        <v>30</v>
      </c>
      <c r="W11">
        <v>4</v>
      </c>
      <c r="X11"/>
      <c r="Y11"/>
      <c r="Z11"/>
      <c r="AA11"/>
      <c r="AB11"/>
      <c r="AC11"/>
      <c r="AD11">
        <v>18</v>
      </c>
      <c r="AE11">
        <v>1</v>
      </c>
      <c r="AF11">
        <v>1</v>
      </c>
    </row>
    <row r="12" spans="1:32">
      <c r="A12" t="s">
        <v>429</v>
      </c>
      <c r="B12" t="s">
        <v>236</v>
      </c>
      <c r="C12" t="s">
        <v>237</v>
      </c>
      <c r="D12" s="184" t="s">
        <v>238</v>
      </c>
      <c r="E12" t="s">
        <v>140</v>
      </c>
      <c r="F12" s="186">
        <v>45271</v>
      </c>
      <c r="G12" s="11">
        <v>45275</v>
      </c>
      <c r="H12" s="112">
        <v>0.33333333333333331</v>
      </c>
      <c r="O12" t="s">
        <v>94</v>
      </c>
      <c r="Q12" t="e">
        <v>#REF!</v>
      </c>
      <c r="R12" t="e">
        <v>#REF!</v>
      </c>
    </row>
    <row r="13" spans="1:32">
      <c r="A13" t="s">
        <v>432</v>
      </c>
      <c r="B13" t="s">
        <v>236</v>
      </c>
      <c r="C13" t="s">
        <v>237</v>
      </c>
      <c r="D13" s="184" t="s">
        <v>238</v>
      </c>
      <c r="E13" t="s">
        <v>269</v>
      </c>
      <c r="F13" s="189">
        <v>45271</v>
      </c>
      <c r="G13" s="180">
        <v>45275</v>
      </c>
      <c r="H13" s="111">
        <v>0.33333333333333331</v>
      </c>
      <c r="O13" t="s">
        <v>94</v>
      </c>
      <c r="Q13" s="117" t="e">
        <v>#REF!</v>
      </c>
      <c r="R13" s="117" t="e">
        <v>#REF!</v>
      </c>
      <c r="V13">
        <v>25</v>
      </c>
      <c r="W13">
        <v>5</v>
      </c>
      <c r="AD13">
        <v>25</v>
      </c>
      <c r="AE13">
        <v>1</v>
      </c>
      <c r="AF13">
        <v>1</v>
      </c>
    </row>
    <row r="14" spans="1:32" s="14" customFormat="1" ht="14.25" customHeight="1">
      <c r="A14" s="105"/>
      <c r="B14" s="158" t="s">
        <v>284</v>
      </c>
      <c r="C14" s="159" t="str">
        <f>VLOOKUP(Table2[[#This Row],[Course Title]],Data!$A$1:$E$56,2,FALSE)</f>
        <v>A-493-0070</v>
      </c>
      <c r="D14" s="170" t="s">
        <v>286</v>
      </c>
      <c r="E14" s="158" t="s">
        <v>116</v>
      </c>
      <c r="F14" s="187">
        <v>45272</v>
      </c>
      <c r="G14" s="161">
        <v>45275</v>
      </c>
      <c r="H14" s="161"/>
      <c r="I14" s="160">
        <v>0.33333333333333331</v>
      </c>
      <c r="J14" s="160">
        <v>0.20833333333333334</v>
      </c>
      <c r="K14" s="160">
        <v>0.66666666666666663</v>
      </c>
      <c r="L14" s="160">
        <v>0.58333333333333337</v>
      </c>
      <c r="M14" s="160">
        <v>0.125</v>
      </c>
      <c r="N14" s="160">
        <v>0.91666666666666663</v>
      </c>
      <c r="O14" s="158" t="s">
        <v>94</v>
      </c>
      <c r="P14" s="158"/>
      <c r="Q14" s="117" t="e">
        <v>#REF!</v>
      </c>
      <c r="R14" s="117" t="e">
        <v>#REF!</v>
      </c>
      <c r="S14" s="165"/>
      <c r="T14" s="105"/>
      <c r="U14" s="105"/>
      <c r="V14" s="27">
        <f>VLOOKUP(Table2[[#This Row],[Course Title]],Data!$A$1:$E$56,4,FALSE)</f>
        <v>30</v>
      </c>
      <c r="W14" s="27">
        <f>VLOOKUP(Table2[[#This Row],[Course Title]],Data!$A$1:$E$56,5,FALSE)</f>
        <v>1</v>
      </c>
      <c r="X14" s="27"/>
      <c r="Y14" s="162"/>
      <c r="Z14" s="27"/>
      <c r="AA14" s="27"/>
      <c r="AB14" s="167"/>
      <c r="AC14" s="166"/>
      <c r="AD14" s="118">
        <f ca="1">Table2[[#This Row],[End Date]]+2-TODAY()</f>
        <v>-187</v>
      </c>
      <c r="AE14" s="27">
        <f>IF(ISBLANK(#REF!),1,0)</f>
        <v>0</v>
      </c>
      <c r="AF14" s="27">
        <f ca="1">IF(Table2[[#This Row],[Start Date]]&gt;TODAY(),1,)</f>
        <v>0</v>
      </c>
    </row>
    <row r="15" spans="1:32" s="73" customFormat="1">
      <c r="A15" s="9" t="s">
        <v>428</v>
      </c>
      <c r="B15" s="4" t="s">
        <v>19</v>
      </c>
      <c r="C15" s="2" t="s">
        <v>234</v>
      </c>
      <c r="D15" s="3" t="s">
        <v>235</v>
      </c>
      <c r="E15" s="10" t="s">
        <v>116</v>
      </c>
      <c r="F15" s="186">
        <v>45279</v>
      </c>
      <c r="G15" s="11">
        <v>45281</v>
      </c>
      <c r="H15" s="11"/>
      <c r="I15" s="111">
        <v>0.25</v>
      </c>
      <c r="J15" s="111">
        <v>0.125</v>
      </c>
      <c r="K15" s="111">
        <v>0.58333333333333337</v>
      </c>
      <c r="L15" s="111">
        <v>0.5</v>
      </c>
      <c r="M15" s="111">
        <v>4.1666666666666664E-2</v>
      </c>
      <c r="N15" s="111">
        <v>0.83333333333333337</v>
      </c>
      <c r="O15" s="10" t="s">
        <v>88</v>
      </c>
      <c r="P15" s="10"/>
      <c r="Q15" s="15" t="e">
        <v>#REF!</v>
      </c>
      <c r="R15" s="15" t="e">
        <v>#REF!</v>
      </c>
      <c r="S15" s="171"/>
      <c r="T15" s="9"/>
      <c r="U15" s="9"/>
      <c r="V15" s="117"/>
      <c r="W15" s="117"/>
      <c r="X15" s="117"/>
      <c r="Y15" s="119"/>
      <c r="Z15" s="117"/>
      <c r="AA15" s="117"/>
      <c r="AB15" s="117"/>
      <c r="AC15" s="72"/>
      <c r="AD15" s="50">
        <f ca="1">Table2[[#This Row],[End Date]]+2-TODAY()</f>
        <v>-186</v>
      </c>
      <c r="AE15" s="116">
        <f>IF(ISBLANK(#REF!),1,0)</f>
        <v>0</v>
      </c>
      <c r="AF15" s="116">
        <f ca="1">IF(Table2[[#This Row],[Start Date]]&gt;TODAY(),1,)</f>
        <v>0</v>
      </c>
    </row>
    <row r="16" spans="1:32" s="14" customFormat="1" ht="14.25" customHeight="1">
      <c r="A16" t="s">
        <v>429</v>
      </c>
      <c r="B16" t="s">
        <v>236</v>
      </c>
      <c r="C16" t="s">
        <v>237</v>
      </c>
      <c r="D16" s="184" t="s">
        <v>238</v>
      </c>
      <c r="E16" t="s">
        <v>137</v>
      </c>
      <c r="F16" s="186">
        <v>45299</v>
      </c>
      <c r="G16" s="11">
        <v>45303</v>
      </c>
      <c r="H16" s="112">
        <v>0.33333333333333331</v>
      </c>
      <c r="I16"/>
      <c r="J16"/>
      <c r="K16"/>
      <c r="L16"/>
      <c r="M16"/>
      <c r="N16"/>
      <c r="O16" t="s">
        <v>94</v>
      </c>
      <c r="P16"/>
      <c r="Q16" t="e">
        <v>#REF!</v>
      </c>
      <c r="R16" t="e">
        <v>#REF!</v>
      </c>
      <c r="S16"/>
      <c r="T16"/>
      <c r="U16"/>
      <c r="V16"/>
      <c r="W16"/>
      <c r="X16"/>
      <c r="Y16"/>
      <c r="Z16"/>
      <c r="AA16"/>
      <c r="AB16"/>
      <c r="AC16"/>
      <c r="AD16"/>
      <c r="AE16"/>
      <c r="AF16"/>
    </row>
    <row r="17" spans="1:32" s="14" customFormat="1" ht="14.25" customHeight="1">
      <c r="A17" t="s">
        <v>433</v>
      </c>
      <c r="B17" t="s">
        <v>236</v>
      </c>
      <c r="C17" t="s">
        <v>237</v>
      </c>
      <c r="D17" s="184" t="s">
        <v>238</v>
      </c>
      <c r="E17" t="s">
        <v>131</v>
      </c>
      <c r="F17" s="189">
        <v>45299</v>
      </c>
      <c r="G17" s="180">
        <v>45303</v>
      </c>
      <c r="H17" s="111">
        <v>0.33333333333333331</v>
      </c>
      <c r="I17"/>
      <c r="J17"/>
      <c r="K17"/>
      <c r="L17"/>
      <c r="M17"/>
      <c r="N17"/>
      <c r="O17" t="s">
        <v>94</v>
      </c>
      <c r="P17"/>
      <c r="Q17" s="117" t="e">
        <v>#REF!</v>
      </c>
      <c r="R17" s="117" t="e">
        <v>#REF!</v>
      </c>
      <c r="S17"/>
      <c r="T17"/>
      <c r="U17"/>
      <c r="V17">
        <v>25</v>
      </c>
      <c r="W17">
        <v>5</v>
      </c>
      <c r="X17"/>
      <c r="Y17"/>
      <c r="Z17"/>
      <c r="AA17"/>
      <c r="AB17"/>
      <c r="AC17"/>
      <c r="AD17">
        <v>11</v>
      </c>
      <c r="AE17">
        <v>1</v>
      </c>
      <c r="AF17">
        <v>1</v>
      </c>
    </row>
    <row r="18" spans="1:32" s="13" customFormat="1">
      <c r="A18" t="s">
        <v>434</v>
      </c>
      <c r="B18" t="s">
        <v>25</v>
      </c>
      <c r="C18" t="s">
        <v>256</v>
      </c>
      <c r="D18" s="184" t="s">
        <v>257</v>
      </c>
      <c r="E18" t="s">
        <v>155</v>
      </c>
      <c r="F18" s="189">
        <v>45299</v>
      </c>
      <c r="G18" s="180">
        <v>45300</v>
      </c>
      <c r="H18" s="111">
        <v>0.33333333333333331</v>
      </c>
      <c r="I18"/>
      <c r="J18"/>
      <c r="K18"/>
      <c r="L18"/>
      <c r="M18"/>
      <c r="N18"/>
      <c r="O18" t="s">
        <v>78</v>
      </c>
      <c r="P18"/>
      <c r="Q18" s="117" t="e">
        <v>#REF!</v>
      </c>
      <c r="R18" s="117" t="e">
        <v>#REF!</v>
      </c>
      <c r="S18"/>
      <c r="T18"/>
      <c r="U18"/>
      <c r="V18">
        <v>30</v>
      </c>
      <c r="W18">
        <v>2</v>
      </c>
      <c r="X18"/>
      <c r="Y18"/>
      <c r="Z18"/>
      <c r="AA18"/>
      <c r="AB18"/>
      <c r="AC18"/>
      <c r="AD18">
        <v>28</v>
      </c>
      <c r="AE18">
        <v>1</v>
      </c>
      <c r="AF18">
        <v>1</v>
      </c>
    </row>
    <row r="19" spans="1:32" s="13" customFormat="1" ht="18" customHeight="1">
      <c r="A19" s="182" t="s">
        <v>434</v>
      </c>
      <c r="B19" t="s">
        <v>27</v>
      </c>
      <c r="C19" t="s">
        <v>263</v>
      </c>
      <c r="D19" s="184" t="s">
        <v>264</v>
      </c>
      <c r="E19" t="s">
        <v>155</v>
      </c>
      <c r="F19" s="189">
        <v>45301</v>
      </c>
      <c r="G19" s="180">
        <v>45301</v>
      </c>
      <c r="H19" s="111">
        <v>0.33333333333333331</v>
      </c>
      <c r="I19"/>
      <c r="J19"/>
      <c r="K19"/>
      <c r="L19"/>
      <c r="M19"/>
      <c r="N19"/>
      <c r="O19" t="s">
        <v>78</v>
      </c>
      <c r="P19"/>
      <c r="Q19" s="117" t="e">
        <v>#REF!</v>
      </c>
      <c r="R19" s="117" t="e">
        <v>#REF!</v>
      </c>
      <c r="S19"/>
      <c r="T19"/>
      <c r="U19"/>
      <c r="V19">
        <v>30</v>
      </c>
      <c r="W19">
        <v>1</v>
      </c>
      <c r="X19"/>
      <c r="Y19"/>
      <c r="Z19"/>
      <c r="AA19"/>
      <c r="AB19"/>
      <c r="AC19"/>
      <c r="AD19">
        <v>29</v>
      </c>
      <c r="AE19">
        <v>1</v>
      </c>
      <c r="AF19">
        <v>1</v>
      </c>
    </row>
    <row r="20" spans="1:32" s="13" customFormat="1">
      <c r="A20" s="182" t="s">
        <v>434</v>
      </c>
      <c r="B20" t="s">
        <v>26</v>
      </c>
      <c r="C20" t="s">
        <v>259</v>
      </c>
      <c r="D20" s="184" t="s">
        <v>260</v>
      </c>
      <c r="E20" t="s">
        <v>155</v>
      </c>
      <c r="F20" s="189">
        <v>45302</v>
      </c>
      <c r="G20" s="180">
        <v>45302</v>
      </c>
      <c r="H20" s="111">
        <v>0.33333333333333331</v>
      </c>
      <c r="I20"/>
      <c r="J20"/>
      <c r="K20"/>
      <c r="L20"/>
      <c r="M20"/>
      <c r="N20"/>
      <c r="O20" t="s">
        <v>78</v>
      </c>
      <c r="P20"/>
      <c r="Q20" s="117" t="e">
        <v>#REF!</v>
      </c>
      <c r="R20" s="117" t="e">
        <v>#REF!</v>
      </c>
      <c r="S20"/>
      <c r="T20"/>
      <c r="U20"/>
      <c r="V20">
        <v>30</v>
      </c>
      <c r="W20">
        <v>1</v>
      </c>
      <c r="X20"/>
      <c r="Y20"/>
      <c r="Z20"/>
      <c r="AA20"/>
      <c r="AB20"/>
      <c r="AC20"/>
      <c r="AD20">
        <v>30</v>
      </c>
      <c r="AE20">
        <v>1</v>
      </c>
      <c r="AF20">
        <v>1</v>
      </c>
    </row>
    <row r="21" spans="1:32" s="13" customFormat="1">
      <c r="A21" s="182" t="s">
        <v>434</v>
      </c>
      <c r="B21" t="s">
        <v>35</v>
      </c>
      <c r="C21" t="s">
        <v>296</v>
      </c>
      <c r="D21" s="184" t="s">
        <v>297</v>
      </c>
      <c r="E21" t="s">
        <v>155</v>
      </c>
      <c r="F21" s="189">
        <v>45303</v>
      </c>
      <c r="G21" s="180">
        <v>45303</v>
      </c>
      <c r="H21" s="111">
        <v>0.33333333333333331</v>
      </c>
      <c r="I21"/>
      <c r="J21"/>
      <c r="K21"/>
      <c r="L21"/>
      <c r="M21"/>
      <c r="N21"/>
      <c r="O21" t="s">
        <v>78</v>
      </c>
      <c r="P21"/>
      <c r="Q21" s="117" t="e">
        <v>#REF!</v>
      </c>
      <c r="R21" s="117" t="e">
        <v>#REF!</v>
      </c>
      <c r="S21"/>
      <c r="T21"/>
      <c r="U21"/>
      <c r="V21">
        <v>30</v>
      </c>
      <c r="W21">
        <v>1</v>
      </c>
      <c r="X21"/>
      <c r="Y21"/>
      <c r="Z21"/>
      <c r="AA21"/>
      <c r="AB21"/>
      <c r="AC21"/>
      <c r="AD21">
        <v>31</v>
      </c>
      <c r="AE21">
        <v>1</v>
      </c>
      <c r="AF21">
        <v>1</v>
      </c>
    </row>
    <row r="22" spans="1:32" s="52" customFormat="1" ht="15.75" customHeight="1">
      <c r="A22" s="9"/>
      <c r="B22" s="10" t="s">
        <v>23</v>
      </c>
      <c r="C22" s="2" t="s">
        <v>252</v>
      </c>
      <c r="D22" s="3" t="s">
        <v>253</v>
      </c>
      <c r="E22" s="113" t="s">
        <v>147</v>
      </c>
      <c r="F22" s="188">
        <v>45307</v>
      </c>
      <c r="G22" s="108">
        <v>45309</v>
      </c>
      <c r="H22" s="111">
        <v>0.33333333333333331</v>
      </c>
      <c r="I22" s="111"/>
      <c r="J22" s="11"/>
      <c r="K22" s="11"/>
      <c r="L22" s="11"/>
      <c r="M22" s="11"/>
      <c r="N22" s="11"/>
      <c r="O22" s="10" t="s">
        <v>78</v>
      </c>
      <c r="P22" s="10"/>
      <c r="Q22" s="16" t="e">
        <v>#REF!</v>
      </c>
      <c r="R22" s="15" t="e">
        <v>#REF!</v>
      </c>
      <c r="S22" s="16"/>
      <c r="T22" s="9"/>
      <c r="U22" s="9"/>
      <c r="V22" s="117">
        <f>VLOOKUP(Table2[[#This Row],[Course Title]],Data!$A$1:$E$56,4,FALSE)</f>
        <v>30</v>
      </c>
      <c r="W22" s="117">
        <f>VLOOKUP(Table2[[#This Row],[Course Title]],Data!$A$1:$E$56,5,FALSE)</f>
        <v>4</v>
      </c>
      <c r="X22" s="117"/>
      <c r="Y22" s="119"/>
      <c r="Z22" s="117"/>
      <c r="AA22" s="117"/>
      <c r="AB22" s="117"/>
      <c r="AC22" s="72"/>
      <c r="AD22" s="50">
        <f ca="1">Table2[[#This Row],[End Date]]+2-TODAY()</f>
        <v>-179</v>
      </c>
      <c r="AE22" s="116">
        <f>IF(ISBLANK(#REF!),1,0)</f>
        <v>0</v>
      </c>
      <c r="AF22" s="116">
        <f ca="1">IF(Table2[[#This Row],[Start Date]]&gt;TODAY(),1,)</f>
        <v>0</v>
      </c>
    </row>
    <row r="23" spans="1:32" s="9" customFormat="1">
      <c r="B23" s="110" t="s">
        <v>23</v>
      </c>
      <c r="C23" s="2" t="s">
        <v>252</v>
      </c>
      <c r="D23" s="3" t="s">
        <v>253</v>
      </c>
      <c r="E23" s="110" t="s">
        <v>140</v>
      </c>
      <c r="F23" s="188">
        <v>45313</v>
      </c>
      <c r="G23" s="108">
        <v>45315</v>
      </c>
      <c r="H23" s="111">
        <v>0.33333333333333331</v>
      </c>
      <c r="I23" s="111"/>
      <c r="J23" s="11"/>
      <c r="K23" s="11"/>
      <c r="L23" s="11"/>
      <c r="M23" s="11"/>
      <c r="N23" s="11"/>
      <c r="O23" s="10" t="s">
        <v>78</v>
      </c>
      <c r="P23" s="10"/>
      <c r="Q23" s="16" t="e">
        <v>#REF!</v>
      </c>
      <c r="R23" s="15" t="e">
        <v>#REF!</v>
      </c>
      <c r="S23" s="16"/>
      <c r="V23" s="117">
        <f>VLOOKUP(Table2[[#This Row],[Course Title]],Data!$A$1:$E$56,4,FALSE)</f>
        <v>45</v>
      </c>
      <c r="W23" s="117">
        <f>VLOOKUP(Table2[[#This Row],[Course Title]],Data!$A$1:$E$56,5,FALSE)</f>
        <v>3</v>
      </c>
      <c r="X23" s="117"/>
      <c r="Y23" s="119"/>
      <c r="Z23" s="117"/>
      <c r="AA23" s="117"/>
      <c r="AB23" s="117"/>
      <c r="AC23" s="72"/>
      <c r="AD23" s="50">
        <f ca="1">Table2[[#This Row],[End Date]]+2-TODAY()</f>
        <v>-179</v>
      </c>
      <c r="AE23" s="116">
        <f>IF(ISBLANK(#REF!),1,0)</f>
        <v>0</v>
      </c>
      <c r="AF23" s="116">
        <f ca="1">IF(Table2[[#This Row],[Start Date]]&gt;TODAY(),1,)</f>
        <v>0</v>
      </c>
    </row>
    <row r="24" spans="1:32" s="9" customFormat="1">
      <c r="A24" t="s">
        <v>429</v>
      </c>
      <c r="B24" t="s">
        <v>236</v>
      </c>
      <c r="C24" t="s">
        <v>237</v>
      </c>
      <c r="D24" s="184" t="s">
        <v>238</v>
      </c>
      <c r="E24" t="s">
        <v>121</v>
      </c>
      <c r="F24" s="186">
        <v>45313</v>
      </c>
      <c r="G24" s="11">
        <v>45317</v>
      </c>
      <c r="H24" s="112">
        <v>0.33333333333333331</v>
      </c>
      <c r="I24"/>
      <c r="J24"/>
      <c r="K24"/>
      <c r="L24"/>
      <c r="M24"/>
      <c r="N24"/>
      <c r="O24" t="s">
        <v>94</v>
      </c>
      <c r="P24"/>
      <c r="Q24" t="e">
        <v>#REF!</v>
      </c>
      <c r="R24" t="e">
        <v>#REF!</v>
      </c>
      <c r="S24"/>
      <c r="T24"/>
      <c r="U24"/>
      <c r="V24"/>
      <c r="W24"/>
      <c r="X24"/>
      <c r="Y24"/>
      <c r="Z24"/>
      <c r="AA24"/>
      <c r="AB24"/>
      <c r="AC24"/>
      <c r="AD24"/>
      <c r="AE24"/>
      <c r="AF24"/>
    </row>
    <row r="25" spans="1:32">
      <c r="A25" s="9"/>
      <c r="B25" s="10" t="s">
        <v>24</v>
      </c>
      <c r="C25" s="2" t="s">
        <v>254</v>
      </c>
      <c r="D25" s="3" t="s">
        <v>255</v>
      </c>
      <c r="E25" s="110" t="s">
        <v>140</v>
      </c>
      <c r="F25" s="188">
        <v>45316</v>
      </c>
      <c r="G25" s="108">
        <v>45316</v>
      </c>
      <c r="H25" s="111">
        <v>0.33333333333333331</v>
      </c>
      <c r="I25" s="111"/>
      <c r="J25" s="11"/>
      <c r="K25" s="11"/>
      <c r="L25" s="11"/>
      <c r="M25" s="11"/>
      <c r="N25" s="11"/>
      <c r="O25" s="10" t="s">
        <v>78</v>
      </c>
      <c r="P25" s="10"/>
      <c r="Q25" s="117">
        <v>30</v>
      </c>
      <c r="R25" s="117">
        <v>1</v>
      </c>
      <c r="S25" s="117"/>
      <c r="T25" s="119"/>
      <c r="U25" s="117"/>
      <c r="V25" s="117"/>
      <c r="W25" s="117"/>
      <c r="X25" s="72"/>
      <c r="Y25" s="50">
        <v>74</v>
      </c>
      <c r="Z25" s="116">
        <v>1</v>
      </c>
      <c r="AA25" s="116">
        <v>1</v>
      </c>
      <c r="AB25" s="13"/>
      <c r="AC25" s="13"/>
      <c r="AD25" s="13"/>
      <c r="AE25" s="13"/>
      <c r="AF25" s="13"/>
    </row>
    <row r="26" spans="1:32" s="14" customFormat="1" ht="14.25" customHeight="1">
      <c r="A26" s="9"/>
      <c r="B26" s="10" t="s">
        <v>24</v>
      </c>
      <c r="C26" s="2" t="s">
        <v>254</v>
      </c>
      <c r="D26" s="3" t="s">
        <v>255</v>
      </c>
      <c r="E26" s="110" t="s">
        <v>140</v>
      </c>
      <c r="F26" s="188">
        <v>45317</v>
      </c>
      <c r="G26" s="108">
        <v>45317</v>
      </c>
      <c r="H26" s="111">
        <v>0.33333333333333331</v>
      </c>
      <c r="I26" s="111"/>
      <c r="J26" s="11"/>
      <c r="K26" s="11"/>
      <c r="L26" s="114"/>
      <c r="M26" s="11"/>
      <c r="N26" s="11"/>
      <c r="O26" s="10" t="s">
        <v>78</v>
      </c>
      <c r="P26" s="10"/>
      <c r="Q26" s="117">
        <v>30</v>
      </c>
      <c r="R26" s="117">
        <v>1</v>
      </c>
      <c r="S26" s="117"/>
      <c r="T26" s="119"/>
      <c r="U26" s="117"/>
      <c r="V26" s="117"/>
      <c r="W26" s="117"/>
      <c r="X26" s="72"/>
      <c r="Y26" s="50">
        <v>75</v>
      </c>
      <c r="Z26" s="116">
        <v>1</v>
      </c>
      <c r="AA26" s="116">
        <v>1</v>
      </c>
      <c r="AB26" s="13"/>
      <c r="AC26" s="13"/>
      <c r="AD26" s="13"/>
      <c r="AE26" s="13"/>
      <c r="AF26" s="13"/>
    </row>
    <row r="27" spans="1:32" s="14" customFormat="1" ht="14.25" customHeight="1">
      <c r="A27" s="9"/>
      <c r="B27" s="10" t="s">
        <v>24</v>
      </c>
      <c r="C27" s="2" t="s">
        <v>254</v>
      </c>
      <c r="D27" s="3" t="s">
        <v>255</v>
      </c>
      <c r="E27" s="10" t="s">
        <v>155</v>
      </c>
      <c r="F27" s="188">
        <v>45317</v>
      </c>
      <c r="G27" s="108">
        <v>45317</v>
      </c>
      <c r="H27" s="111">
        <v>0.33333333333333331</v>
      </c>
      <c r="I27" s="111"/>
      <c r="J27" s="11"/>
      <c r="K27" s="11"/>
      <c r="L27" s="11"/>
      <c r="M27" s="11"/>
      <c r="N27" s="11"/>
      <c r="O27" s="10" t="s">
        <v>78</v>
      </c>
      <c r="P27" s="10"/>
      <c r="Q27" s="117">
        <v>30</v>
      </c>
      <c r="R27" s="117">
        <v>1</v>
      </c>
      <c r="S27" s="117"/>
      <c r="T27" s="119"/>
      <c r="U27" s="117"/>
      <c r="V27" s="117"/>
      <c r="W27" s="117"/>
      <c r="X27" s="72"/>
      <c r="Y27" s="50">
        <v>75</v>
      </c>
      <c r="Z27" s="116">
        <v>1</v>
      </c>
      <c r="AA27" s="116">
        <v>1</v>
      </c>
      <c r="AB27" s="9"/>
      <c r="AC27" s="9"/>
      <c r="AD27" s="9"/>
      <c r="AE27" s="9"/>
      <c r="AF27" s="9"/>
    </row>
    <row r="28" spans="1:32" s="13" customFormat="1">
      <c r="A28" s="9"/>
      <c r="B28" s="110" t="s">
        <v>23</v>
      </c>
      <c r="C28" s="2" t="s">
        <v>252</v>
      </c>
      <c r="D28" s="3" t="s">
        <v>253</v>
      </c>
      <c r="E28" s="113" t="s">
        <v>104</v>
      </c>
      <c r="F28" s="188">
        <v>45320</v>
      </c>
      <c r="G28" s="108">
        <v>45322</v>
      </c>
      <c r="H28" s="111">
        <v>0.33333333333333331</v>
      </c>
      <c r="I28" s="111"/>
      <c r="J28" s="11"/>
      <c r="K28" s="11"/>
      <c r="L28" s="11"/>
      <c r="M28" s="11"/>
      <c r="N28" s="11"/>
      <c r="O28" s="10" t="s">
        <v>78</v>
      </c>
      <c r="P28" s="10"/>
      <c r="Q28" s="16" t="e">
        <v>#REF!</v>
      </c>
      <c r="R28" s="15" t="e">
        <v>#REF!</v>
      </c>
      <c r="S28" s="16"/>
      <c r="T28" s="9"/>
      <c r="U28" s="9"/>
      <c r="V28" s="117">
        <f>VLOOKUP(Table2[[#This Row],[Course Title]],Data!$A$1:$E$56,4,FALSE)</f>
        <v>25</v>
      </c>
      <c r="W28" s="117">
        <f>VLOOKUP(Table2[[#This Row],[Course Title]],Data!$A$1:$E$56,5,FALSE)</f>
        <v>2</v>
      </c>
      <c r="X28" s="117"/>
      <c r="Y28" s="119"/>
      <c r="Z28" s="117"/>
      <c r="AA28" s="117"/>
      <c r="AB28" s="117"/>
      <c r="AC28" s="72"/>
      <c r="AD28" s="50">
        <f ca="1">Table2[[#This Row],[End Date]]+2-TODAY()</f>
        <v>-171</v>
      </c>
      <c r="AE28" s="116">
        <f>IF(ISBLANK(#REF!),1,0)</f>
        <v>0</v>
      </c>
      <c r="AF28" s="116">
        <f ca="1">IF(Table2[[#This Row],[Start Date]]&gt;TODAY(),1,)</f>
        <v>0</v>
      </c>
    </row>
    <row r="29" spans="1:32" s="9" customFormat="1">
      <c r="B29" s="110" t="s">
        <v>23</v>
      </c>
      <c r="C29" s="2" t="s">
        <v>252</v>
      </c>
      <c r="D29" s="3" t="s">
        <v>253</v>
      </c>
      <c r="E29" s="113" t="s">
        <v>148</v>
      </c>
      <c r="F29" s="188">
        <v>45320</v>
      </c>
      <c r="G29" s="108">
        <v>45322</v>
      </c>
      <c r="H29" s="111">
        <v>0.33333333333333331</v>
      </c>
      <c r="I29" s="111"/>
      <c r="J29" s="11"/>
      <c r="K29" s="11"/>
      <c r="L29" s="11"/>
      <c r="M29" s="11"/>
      <c r="N29" s="11"/>
      <c r="O29" s="10" t="s">
        <v>78</v>
      </c>
      <c r="P29" s="10"/>
      <c r="Q29" s="16" t="e">
        <v>#REF!</v>
      </c>
      <c r="R29" s="15" t="e">
        <v>#REF!</v>
      </c>
      <c r="S29" s="16"/>
      <c r="V29" s="117">
        <f>VLOOKUP(Table2[[#This Row],[Course Title]],Data!$A$1:$E$56,4,FALSE)</f>
        <v>45</v>
      </c>
      <c r="W29" s="117">
        <f>VLOOKUP(Table2[[#This Row],[Course Title]],Data!$A$1:$E$56,5,FALSE)</f>
        <v>5</v>
      </c>
      <c r="X29" s="117"/>
      <c r="Y29" s="119"/>
      <c r="Z29" s="117"/>
      <c r="AA29" s="117"/>
      <c r="AB29" s="117"/>
      <c r="AC29" s="72"/>
      <c r="AD29" s="50">
        <f ca="1">Table2[[#This Row],[End Date]]+2-TODAY()</f>
        <v>-164</v>
      </c>
      <c r="AE29" s="116">
        <f>IF(ISBLANK(#REF!),1,0)</f>
        <v>0</v>
      </c>
      <c r="AF29" s="116">
        <f ca="1">IF(Table2[[#This Row],[Start Date]]&gt;TODAY(),1,)</f>
        <v>0</v>
      </c>
    </row>
    <row r="30" spans="1:32" s="13" customFormat="1">
      <c r="A30" s="9"/>
      <c r="B30" s="10" t="s">
        <v>24</v>
      </c>
      <c r="C30" s="2" t="s">
        <v>254</v>
      </c>
      <c r="D30" s="3" t="s">
        <v>255</v>
      </c>
      <c r="E30" s="113" t="s">
        <v>104</v>
      </c>
      <c r="F30" s="188">
        <v>45323</v>
      </c>
      <c r="G30" s="108">
        <v>45323</v>
      </c>
      <c r="H30" s="111">
        <v>0.33333333333333331</v>
      </c>
      <c r="I30" s="111"/>
      <c r="J30" s="11"/>
      <c r="K30" s="11"/>
      <c r="L30" s="11"/>
      <c r="M30" s="11"/>
      <c r="N30" s="11"/>
      <c r="O30" s="10" t="s">
        <v>78</v>
      </c>
      <c r="P30" s="10"/>
      <c r="Q30" s="117">
        <v>30</v>
      </c>
      <c r="R30" s="117">
        <v>1</v>
      </c>
      <c r="S30" s="117"/>
      <c r="T30" s="119"/>
      <c r="U30" s="117"/>
      <c r="V30" s="117"/>
      <c r="W30" s="117"/>
      <c r="X30" s="72"/>
      <c r="Y30" s="50">
        <v>81</v>
      </c>
      <c r="Z30" s="116">
        <v>1</v>
      </c>
      <c r="AA30" s="116">
        <v>1</v>
      </c>
    </row>
    <row r="31" spans="1:32" s="13" customFormat="1">
      <c r="A31" s="9"/>
      <c r="B31" s="10" t="s">
        <v>24</v>
      </c>
      <c r="C31" s="2" t="s">
        <v>254</v>
      </c>
      <c r="D31" s="3" t="s">
        <v>255</v>
      </c>
      <c r="E31" s="113" t="s">
        <v>148</v>
      </c>
      <c r="F31" s="188">
        <v>45323</v>
      </c>
      <c r="G31" s="108">
        <v>45323</v>
      </c>
      <c r="H31" s="111">
        <v>0.33333333333333331</v>
      </c>
      <c r="I31" s="111"/>
      <c r="J31" s="11"/>
      <c r="K31" s="11"/>
      <c r="L31" s="11"/>
      <c r="M31" s="11"/>
      <c r="N31" s="11"/>
      <c r="O31" s="10" t="s">
        <v>78</v>
      </c>
      <c r="P31" s="10"/>
      <c r="Q31" s="117">
        <v>30</v>
      </c>
      <c r="R31" s="117">
        <v>1</v>
      </c>
      <c r="S31" s="117"/>
      <c r="T31" s="119"/>
      <c r="U31" s="117"/>
      <c r="V31" s="117"/>
      <c r="W31" s="117"/>
      <c r="X31" s="72"/>
      <c r="Y31" s="50">
        <v>81</v>
      </c>
      <c r="Z31" s="116">
        <v>1</v>
      </c>
      <c r="AA31" s="116">
        <v>1</v>
      </c>
      <c r="AB31" s="9"/>
      <c r="AC31" s="9"/>
      <c r="AD31" s="9"/>
      <c r="AE31" s="9"/>
      <c r="AF31" s="9"/>
    </row>
    <row r="32" spans="1:32" s="9" customFormat="1">
      <c r="A32" t="s">
        <v>429</v>
      </c>
      <c r="B32" t="s">
        <v>236</v>
      </c>
      <c r="C32" t="s">
        <v>237</v>
      </c>
      <c r="D32" s="184" t="s">
        <v>238</v>
      </c>
      <c r="E32" t="s">
        <v>147</v>
      </c>
      <c r="F32" s="186">
        <v>45327</v>
      </c>
      <c r="G32" s="11">
        <v>45331</v>
      </c>
      <c r="H32" s="112">
        <v>0.33333333333333331</v>
      </c>
      <c r="I32"/>
      <c r="J32"/>
      <c r="K32"/>
      <c r="L32"/>
      <c r="M32"/>
      <c r="N32"/>
      <c r="O32" t="s">
        <v>94</v>
      </c>
      <c r="P32"/>
      <c r="Q32">
        <v>25</v>
      </c>
      <c r="R32">
        <v>5</v>
      </c>
      <c r="S32"/>
      <c r="T32"/>
      <c r="U32"/>
      <c r="V32"/>
      <c r="W32"/>
      <c r="X32"/>
      <c r="Y32"/>
      <c r="Z32"/>
      <c r="AA32"/>
      <c r="AB32"/>
      <c r="AC32"/>
      <c r="AD32"/>
      <c r="AE32"/>
      <c r="AF32"/>
    </row>
    <row r="33" spans="1:32" s="9" customFormat="1">
      <c r="B33" s="110" t="s">
        <v>23</v>
      </c>
      <c r="C33" s="2" t="s">
        <v>252</v>
      </c>
      <c r="D33" s="3" t="s">
        <v>253</v>
      </c>
      <c r="E33" s="10" t="s">
        <v>133</v>
      </c>
      <c r="F33" s="186">
        <v>45342</v>
      </c>
      <c r="G33" s="11">
        <v>45344</v>
      </c>
      <c r="H33" s="111">
        <v>0.33333333333333331</v>
      </c>
      <c r="I33" s="111"/>
      <c r="J33" s="11"/>
      <c r="K33" s="11"/>
      <c r="L33" s="11"/>
      <c r="M33" s="11"/>
      <c r="N33" s="11"/>
      <c r="O33" s="10" t="s">
        <v>78</v>
      </c>
      <c r="P33" s="10"/>
      <c r="Q33" s="16" t="e">
        <v>#REF!</v>
      </c>
      <c r="R33" s="15" t="e">
        <v>#REF!</v>
      </c>
      <c r="S33" s="16"/>
      <c r="V33" s="117">
        <f>VLOOKUP(Table2[[#This Row],[Course Title]],Data!$A$1:$E$56,4,FALSE)</f>
        <v>30</v>
      </c>
      <c r="W33" s="117">
        <f>VLOOKUP(Table2[[#This Row],[Course Title]],Data!$A$1:$E$56,5,FALSE)</f>
        <v>4</v>
      </c>
      <c r="X33" s="117"/>
      <c r="Y33" s="119"/>
      <c r="Z33" s="117"/>
      <c r="AA33" s="117"/>
      <c r="AB33" s="117"/>
      <c r="AC33" s="72"/>
      <c r="AD33" s="50">
        <f ca="1">Table2[[#This Row],[End Date]]+2-TODAY()</f>
        <v>-165</v>
      </c>
      <c r="AE33" s="116">
        <f>IF(ISBLANK(#REF!),1,0)</f>
        <v>0</v>
      </c>
      <c r="AF33" s="116">
        <f ca="1">IF(Table2[[#This Row],[Start Date]]&gt;TODAY(),1,)</f>
        <v>0</v>
      </c>
    </row>
    <row r="34" spans="1:32" s="155" customFormat="1" ht="14.25" customHeight="1">
      <c r="A34" s="9"/>
      <c r="B34" s="10" t="s">
        <v>26</v>
      </c>
      <c r="C34" s="2" t="str">
        <f>VLOOKUP(Table2[[#This Row],[Course Title]],Data!$A$1:$E$56,2,FALSE)</f>
        <v>A-493-0099</v>
      </c>
      <c r="D34" s="3" t="str">
        <f>VLOOKUP(Table2[[#This Row],[Course Title]],Data!$A$1:$E$56,3,FALSE)</f>
        <v>12JW</v>
      </c>
      <c r="E34" s="10" t="s">
        <v>147</v>
      </c>
      <c r="F34" s="186">
        <v>45350</v>
      </c>
      <c r="G34" s="11">
        <v>45350</v>
      </c>
      <c r="H34" s="112">
        <v>0.33333333333333331</v>
      </c>
      <c r="I34" s="112"/>
      <c r="J34" s="11"/>
      <c r="K34" s="11"/>
      <c r="L34" s="11"/>
      <c r="M34" s="11"/>
      <c r="N34" s="11"/>
      <c r="O34" s="10" t="s">
        <v>78</v>
      </c>
      <c r="P34" s="10"/>
      <c r="Q34" s="16" t="e">
        <v>#REF!</v>
      </c>
      <c r="R34" s="15" t="e">
        <v>#REF!</v>
      </c>
      <c r="S34" s="16"/>
      <c r="T34" s="9"/>
      <c r="U34" s="9"/>
      <c r="V34" s="117">
        <f>VLOOKUP(Table2[[#This Row],[Course Title]],Data!$A$1:$E$56,4,FALSE)</f>
        <v>45</v>
      </c>
      <c r="W34" s="117">
        <f>VLOOKUP(Table2[[#This Row],[Course Title]],Data!$A$1:$E$56,5,FALSE)</f>
        <v>3</v>
      </c>
      <c r="X34" s="117"/>
      <c r="Y34" s="119"/>
      <c r="Z34" s="117"/>
      <c r="AA34" s="117"/>
      <c r="AB34" s="120"/>
      <c r="AC34" s="95"/>
      <c r="AD34" s="50">
        <f ca="1">Table2[[#This Row],[End Date]]+2-TODAY()</f>
        <v>-165</v>
      </c>
      <c r="AE34" s="116">
        <f>IF(ISBLANK(#REF!),1,0)</f>
        <v>0</v>
      </c>
      <c r="AF34" s="116">
        <f ca="1">IF(Table2[[#This Row],[Start Date]]&gt;TODAY(),1,)</f>
        <v>0</v>
      </c>
    </row>
    <row r="35" spans="1:32" s="14" customFormat="1" ht="14.25" customHeight="1">
      <c r="A35" s="9"/>
      <c r="B35" s="10" t="s">
        <v>27</v>
      </c>
      <c r="C35" s="2" t="s">
        <v>263</v>
      </c>
      <c r="D35" s="3" t="s">
        <v>264</v>
      </c>
      <c r="E35" s="10" t="s">
        <v>147</v>
      </c>
      <c r="F35" s="186">
        <v>45351</v>
      </c>
      <c r="G35" s="11">
        <v>45351</v>
      </c>
      <c r="H35" s="112">
        <v>0.33333333333333331</v>
      </c>
      <c r="I35" s="112"/>
      <c r="J35" s="11"/>
      <c r="K35" s="11"/>
      <c r="L35" s="11"/>
      <c r="M35" s="11"/>
      <c r="N35" s="11"/>
      <c r="O35" s="10" t="s">
        <v>78</v>
      </c>
      <c r="P35" s="10"/>
      <c r="Q35" s="117">
        <v>30</v>
      </c>
      <c r="R35" s="117">
        <v>1</v>
      </c>
      <c r="S35" s="117"/>
      <c r="T35" s="119"/>
      <c r="U35" s="117"/>
      <c r="V35" s="117"/>
      <c r="W35" s="117"/>
      <c r="X35" s="72"/>
      <c r="Y35" s="50">
        <v>109</v>
      </c>
      <c r="Z35" s="116">
        <v>1</v>
      </c>
      <c r="AA35" s="116">
        <v>1</v>
      </c>
      <c r="AB35" s="9"/>
      <c r="AC35" s="9"/>
      <c r="AD35" s="9"/>
      <c r="AE35" s="9"/>
      <c r="AF35" s="9"/>
    </row>
    <row r="36" spans="1:32" s="73" customFormat="1" ht="16.5" customHeight="1">
      <c r="A36" s="9"/>
      <c r="B36" s="10" t="s">
        <v>24</v>
      </c>
      <c r="C36" s="2" t="s">
        <v>254</v>
      </c>
      <c r="D36" s="3" t="s">
        <v>255</v>
      </c>
      <c r="E36" s="3" t="s">
        <v>122</v>
      </c>
      <c r="F36" s="186">
        <v>45352</v>
      </c>
      <c r="G36" s="11">
        <v>45352</v>
      </c>
      <c r="H36" s="111">
        <v>0.33333333333333331</v>
      </c>
      <c r="I36" s="111"/>
      <c r="J36" s="11"/>
      <c r="K36" s="11"/>
      <c r="L36" s="11"/>
      <c r="M36" s="11"/>
      <c r="N36" s="11"/>
      <c r="O36" s="10" t="s">
        <v>78</v>
      </c>
      <c r="P36" s="10"/>
      <c r="Q36" s="117">
        <v>30</v>
      </c>
      <c r="R36" s="117">
        <v>1</v>
      </c>
      <c r="S36" s="117"/>
      <c r="T36" s="119"/>
      <c r="U36" s="117"/>
      <c r="V36" s="117"/>
      <c r="W36" s="117"/>
      <c r="X36" s="72"/>
      <c r="Y36" s="50">
        <v>110</v>
      </c>
      <c r="Z36" s="116">
        <v>1</v>
      </c>
      <c r="AA36" s="116">
        <v>1</v>
      </c>
      <c r="AB36" s="13"/>
      <c r="AC36" s="13"/>
      <c r="AD36" s="13"/>
      <c r="AE36" s="13"/>
      <c r="AF36" s="13"/>
    </row>
    <row r="37" spans="1:32" s="73" customFormat="1">
      <c r="A37" s="9"/>
      <c r="B37" s="10" t="s">
        <v>17</v>
      </c>
      <c r="C37" s="2" t="str">
        <f>VLOOKUP(Table2[[#This Row],[Course Title]],Data!$A$1:$E$56,2,FALSE)</f>
        <v>A-493-0331</v>
      </c>
      <c r="D37" s="3" t="str">
        <f>VLOOKUP(Table2[[#This Row],[Course Title]],Data!$A$1:$E$56,3,FALSE)</f>
        <v>10UG</v>
      </c>
      <c r="E37" s="113" t="s">
        <v>113</v>
      </c>
      <c r="F37" s="188">
        <v>45355</v>
      </c>
      <c r="G37" s="11">
        <v>45359</v>
      </c>
      <c r="H37" s="112">
        <v>0.33333333333333331</v>
      </c>
      <c r="I37" s="112"/>
      <c r="J37" s="11"/>
      <c r="K37" s="11"/>
      <c r="L37" s="11"/>
      <c r="M37" s="11"/>
      <c r="N37" s="11"/>
      <c r="O37" s="10" t="s">
        <v>78</v>
      </c>
      <c r="P37" s="10"/>
      <c r="Q37" s="16" t="e">
        <v>#REF!</v>
      </c>
      <c r="R37" s="15" t="e">
        <v>#REF!</v>
      </c>
      <c r="S37" s="16"/>
      <c r="T37" s="9"/>
      <c r="U37" s="9"/>
      <c r="V37" s="117">
        <f>VLOOKUP(Table2[[#This Row],[Course Title]],Data!$A$1:$E$56,4,FALSE)</f>
        <v>40</v>
      </c>
      <c r="W37" s="117">
        <f>VLOOKUP(Table2[[#This Row],[Course Title]],Data!$A$1:$E$56,5,FALSE)</f>
        <v>3</v>
      </c>
      <c r="X37" s="117"/>
      <c r="Y37" s="119"/>
      <c r="Z37" s="117"/>
      <c r="AA37" s="117"/>
      <c r="AB37" s="117"/>
      <c r="AC37" s="72"/>
      <c r="AD37" s="50">
        <f ca="1">Table2[[#This Row],[End Date]]+2-TODAY()</f>
        <v>-158</v>
      </c>
      <c r="AE37" s="116">
        <f>IF(ISBLANK(#REF!),1,0)</f>
        <v>0</v>
      </c>
      <c r="AF37" s="116">
        <f ca="1">IF(Table2[[#This Row],[Start Date]]&gt;TODAY(),1,)</f>
        <v>0</v>
      </c>
    </row>
    <row r="38" spans="1:32" s="14" customFormat="1" ht="16.5" customHeight="1">
      <c r="A38" s="9"/>
      <c r="B38" s="110" t="s">
        <v>23</v>
      </c>
      <c r="C38" s="2" t="s">
        <v>252</v>
      </c>
      <c r="D38" s="3" t="s">
        <v>253</v>
      </c>
      <c r="E38" s="113" t="s">
        <v>102</v>
      </c>
      <c r="F38" s="188">
        <v>45355</v>
      </c>
      <c r="G38" s="108">
        <v>45357</v>
      </c>
      <c r="H38" s="111">
        <v>0.33333333333333331</v>
      </c>
      <c r="I38" s="111"/>
      <c r="J38" s="11"/>
      <c r="K38" s="11"/>
      <c r="L38" s="11"/>
      <c r="M38" s="11"/>
      <c r="N38" s="11"/>
      <c r="O38" s="10" t="s">
        <v>78</v>
      </c>
      <c r="P38" s="10"/>
      <c r="Q38" s="16" t="e">
        <v>#REF!</v>
      </c>
      <c r="R38" s="15" t="e">
        <v>#REF!</v>
      </c>
      <c r="S38" s="16"/>
      <c r="T38" s="9"/>
      <c r="U38" s="9"/>
      <c r="V38" s="117">
        <f>VLOOKUP(Table2[[#This Row],[Course Title]],Data!$A$1:$E$56,4,FALSE)</f>
        <v>0</v>
      </c>
      <c r="W38" s="117">
        <f>VLOOKUP(Table2[[#This Row],[Course Title]],Data!$A$1:$E$56,5,FALSE)</f>
        <v>0</v>
      </c>
      <c r="X38" s="117"/>
      <c r="Y38" s="119"/>
      <c r="Z38" s="117"/>
      <c r="AA38" s="117"/>
      <c r="AB38" s="117"/>
      <c r="AC38" s="72"/>
      <c r="AD38" s="50">
        <f ca="1">Table2[[#This Row],[End Date]]+2-TODAY()</f>
        <v>-157</v>
      </c>
      <c r="AE38" s="116">
        <f>IF(ISBLANK(#REF!),1,0)</f>
        <v>0</v>
      </c>
      <c r="AF38" s="116">
        <f ca="1">IF(Table2[[#This Row],[Start Date]]&gt;TODAY(),1,)</f>
        <v>0</v>
      </c>
    </row>
    <row r="39" spans="1:32" s="14" customFormat="1" ht="14.25" customHeight="1">
      <c r="A39" s="9"/>
      <c r="B39" s="10" t="s">
        <v>26</v>
      </c>
      <c r="C39" s="2" t="s">
        <v>259</v>
      </c>
      <c r="D39" s="3" t="s">
        <v>260</v>
      </c>
      <c r="E39" s="10" t="s">
        <v>133</v>
      </c>
      <c r="F39" s="186">
        <v>45357</v>
      </c>
      <c r="G39" s="11">
        <v>45357</v>
      </c>
      <c r="H39" s="112">
        <v>0.33333333333333331</v>
      </c>
      <c r="I39" s="112"/>
      <c r="J39" s="11"/>
      <c r="K39" s="11"/>
      <c r="L39" s="11"/>
      <c r="M39" s="11"/>
      <c r="N39" s="11"/>
      <c r="O39" s="10" t="s">
        <v>78</v>
      </c>
      <c r="P39" s="10"/>
      <c r="Q39" s="117">
        <v>30</v>
      </c>
      <c r="R39" s="117">
        <v>1</v>
      </c>
      <c r="S39" s="117"/>
      <c r="T39" s="119"/>
      <c r="U39" s="117"/>
      <c r="V39" s="117"/>
      <c r="W39" s="117"/>
      <c r="X39" s="72"/>
      <c r="Y39" s="50">
        <v>115</v>
      </c>
      <c r="Z39" s="116">
        <v>1</v>
      </c>
      <c r="AA39" s="116">
        <v>1</v>
      </c>
      <c r="AB39" s="13"/>
      <c r="AC39" s="13"/>
      <c r="AD39" s="13"/>
      <c r="AE39" s="13"/>
      <c r="AF39" s="13"/>
    </row>
    <row r="40" spans="1:32" s="13" customFormat="1">
      <c r="A40" s="9"/>
      <c r="B40" s="10" t="s">
        <v>24</v>
      </c>
      <c r="C40" s="2" t="s">
        <v>254</v>
      </c>
      <c r="D40" s="3" t="s">
        <v>255</v>
      </c>
      <c r="E40" s="113" t="s">
        <v>102</v>
      </c>
      <c r="F40" s="188">
        <v>45358</v>
      </c>
      <c r="G40" s="108">
        <v>45358</v>
      </c>
      <c r="H40" s="111">
        <v>0.33333333333333331</v>
      </c>
      <c r="I40" s="111"/>
      <c r="J40" s="11"/>
      <c r="K40" s="11"/>
      <c r="L40" s="11"/>
      <c r="M40" s="11"/>
      <c r="N40" s="11"/>
      <c r="O40" s="10" t="s">
        <v>78</v>
      </c>
      <c r="P40" s="10"/>
      <c r="Q40" s="117">
        <v>30</v>
      </c>
      <c r="R40" s="117">
        <v>1</v>
      </c>
      <c r="S40" s="117"/>
      <c r="T40" s="119"/>
      <c r="U40" s="117"/>
      <c r="V40" s="117"/>
      <c r="W40" s="117"/>
      <c r="X40" s="10"/>
      <c r="Y40" s="50">
        <v>116</v>
      </c>
      <c r="Z40" s="116">
        <v>1</v>
      </c>
      <c r="AA40" s="116">
        <v>1</v>
      </c>
      <c r="AB40" s="173"/>
      <c r="AC40" s="173"/>
      <c r="AD40" s="173"/>
      <c r="AE40" s="173"/>
      <c r="AF40" s="173"/>
    </row>
    <row r="41" spans="1:32" s="173" customFormat="1">
      <c r="A41" s="9"/>
      <c r="B41" s="10" t="s">
        <v>25</v>
      </c>
      <c r="C41" s="2" t="s">
        <v>256</v>
      </c>
      <c r="D41" s="3" t="s">
        <v>257</v>
      </c>
      <c r="E41" s="10" t="s">
        <v>148</v>
      </c>
      <c r="F41" s="186">
        <v>45362</v>
      </c>
      <c r="G41" s="11">
        <v>45363</v>
      </c>
      <c r="H41" s="112">
        <v>0.33333333333333331</v>
      </c>
      <c r="I41" s="112"/>
      <c r="J41" s="11"/>
      <c r="K41" s="11"/>
      <c r="L41" s="11"/>
      <c r="M41" s="11"/>
      <c r="N41" s="11"/>
      <c r="O41" s="10" t="s">
        <v>78</v>
      </c>
      <c r="P41" s="10"/>
      <c r="Q41" s="16" t="e">
        <v>#REF!</v>
      </c>
      <c r="R41" s="15" t="e">
        <v>#REF!</v>
      </c>
      <c r="S41" s="16"/>
      <c r="T41" s="9"/>
      <c r="U41" s="9"/>
      <c r="V41" s="117">
        <f>VLOOKUP(Table2[[#This Row],[Course Title]],Data!$A$1:$E$56,4,FALSE)</f>
        <v>45</v>
      </c>
      <c r="W41" s="117">
        <f>VLOOKUP(Table2[[#This Row],[Course Title]],Data!$A$1:$E$56,5,FALSE)</f>
        <v>4</v>
      </c>
      <c r="X41" s="117"/>
      <c r="Y41" s="119"/>
      <c r="Z41" s="117"/>
      <c r="AA41" s="117"/>
      <c r="AB41" s="117"/>
      <c r="AC41" s="72"/>
      <c r="AD41" s="50">
        <f ca="1">Table2[[#This Row],[End Date]]+2-TODAY()</f>
        <v>-150</v>
      </c>
      <c r="AE41" s="116">
        <f>IF(ISBLANK(#REF!),1,0)</f>
        <v>0</v>
      </c>
      <c r="AF41" s="116">
        <f ca="1">IF(Table2[[#This Row],[Start Date]]&gt;TODAY(),1,)</f>
        <v>0</v>
      </c>
    </row>
    <row r="42" spans="1:32" s="13" customFormat="1">
      <c r="A42" s="9"/>
      <c r="B42" s="10" t="s">
        <v>26</v>
      </c>
      <c r="C42" s="2" t="str">
        <f>VLOOKUP(Table2[[#This Row],[Course Title]],Data!$A$1:$E$56,2,FALSE)</f>
        <v>A-493-0078</v>
      </c>
      <c r="D42" s="3">
        <f>VLOOKUP(Table2[[#This Row],[Course Title]],Data!$A$1:$E$56,3,FALSE)</f>
        <v>1228</v>
      </c>
      <c r="E42" s="10" t="s">
        <v>148</v>
      </c>
      <c r="F42" s="186">
        <v>45364</v>
      </c>
      <c r="G42" s="11">
        <v>45364</v>
      </c>
      <c r="H42" s="112">
        <v>0.33333333333333331</v>
      </c>
      <c r="I42" s="112"/>
      <c r="J42" s="11"/>
      <c r="K42" s="11"/>
      <c r="L42" s="11"/>
      <c r="M42" s="11"/>
      <c r="N42" s="11"/>
      <c r="O42" s="10" t="s">
        <v>78</v>
      </c>
      <c r="P42" s="10"/>
      <c r="Q42" s="16" t="e">
        <v>#REF!</v>
      </c>
      <c r="R42" s="15" t="e">
        <v>#REF!</v>
      </c>
      <c r="S42" s="16"/>
      <c r="T42" s="9"/>
      <c r="U42" s="9"/>
      <c r="V42" s="117">
        <f>VLOOKUP(Table2[[#This Row],[Course Title]],Data!$A$1:$E$56,4,FALSE)</f>
        <v>45</v>
      </c>
      <c r="W42" s="117">
        <f>VLOOKUP(Table2[[#This Row],[Course Title]],Data!$A$1:$E$56,5,FALSE)</f>
        <v>5</v>
      </c>
      <c r="X42" s="117"/>
      <c r="Y42" s="119"/>
      <c r="Z42" s="117"/>
      <c r="AA42" s="117"/>
      <c r="AB42" s="117"/>
      <c r="AC42" s="72"/>
      <c r="AD42" s="50">
        <f ca="1">Table2[[#This Row],[End Date]]+2-TODAY()</f>
        <v>-150</v>
      </c>
      <c r="AE42" s="116">
        <f>IF(ISBLANK(#REF!),1,0)</f>
        <v>0</v>
      </c>
      <c r="AF42" s="116">
        <f ca="1">IF(Table2[[#This Row],[Start Date]]&gt;TODAY(),1,)</f>
        <v>0</v>
      </c>
    </row>
    <row r="43" spans="1:32" s="13" customFormat="1">
      <c r="A43" s="9"/>
      <c r="B43" s="10" t="s">
        <v>27</v>
      </c>
      <c r="C43" s="2" t="s">
        <v>263</v>
      </c>
      <c r="D43" s="3" t="s">
        <v>264</v>
      </c>
      <c r="E43" s="10" t="s">
        <v>148</v>
      </c>
      <c r="F43" s="186">
        <v>45365</v>
      </c>
      <c r="G43" s="11">
        <v>45365</v>
      </c>
      <c r="H43" s="112">
        <v>0.33333333333333331</v>
      </c>
      <c r="I43" s="112"/>
      <c r="J43" s="11"/>
      <c r="K43" s="11"/>
      <c r="L43" s="11"/>
      <c r="M43" s="11"/>
      <c r="N43" s="11"/>
      <c r="O43" s="10" t="s">
        <v>78</v>
      </c>
      <c r="P43" s="10"/>
      <c r="Q43" s="16" t="e">
        <v>#REF!</v>
      </c>
      <c r="R43" s="15" t="e">
        <v>#REF!</v>
      </c>
      <c r="S43" s="16"/>
      <c r="T43" s="9"/>
      <c r="U43" s="9"/>
      <c r="V43" s="117">
        <f>VLOOKUP(Table2[[#This Row],[Course Title]],Data!$A$1:$E$56,4,FALSE)</f>
        <v>30</v>
      </c>
      <c r="W43" s="117">
        <f>VLOOKUP(Table2[[#This Row],[Course Title]],Data!$A$1:$E$56,5,FALSE)</f>
        <v>4</v>
      </c>
      <c r="X43" s="117"/>
      <c r="Y43" s="119"/>
      <c r="Z43" s="117"/>
      <c r="AA43" s="117"/>
      <c r="AB43" s="117"/>
      <c r="AC43" s="72"/>
      <c r="AD43" s="50">
        <f ca="1">Table2[[#This Row],[End Date]]+2-TODAY()</f>
        <v>-151</v>
      </c>
      <c r="AE43" s="116">
        <f>IF(ISBLANK(#REF!),1,0)</f>
        <v>0</v>
      </c>
      <c r="AF43" s="116">
        <f ca="1">IF(Table2[[#This Row],[Start Date]]&gt;TODAY(),1,)</f>
        <v>0</v>
      </c>
    </row>
    <row r="44" spans="1:32" s="13" customFormat="1">
      <c r="A44" s="9"/>
      <c r="B44" s="110" t="s">
        <v>23</v>
      </c>
      <c r="C44" s="2" t="s">
        <v>252</v>
      </c>
      <c r="D44" s="3" t="s">
        <v>253</v>
      </c>
      <c r="E44" s="113" t="s">
        <v>137</v>
      </c>
      <c r="F44" s="188">
        <v>45369</v>
      </c>
      <c r="G44" s="108">
        <v>45371</v>
      </c>
      <c r="H44" s="111">
        <v>0.33333333333333331</v>
      </c>
      <c r="I44" s="111"/>
      <c r="J44" s="11"/>
      <c r="K44" s="11"/>
      <c r="L44" s="11"/>
      <c r="M44" s="11"/>
      <c r="N44" s="11"/>
      <c r="O44" s="10" t="s">
        <v>78</v>
      </c>
      <c r="P44" s="10"/>
      <c r="Q44" s="16" t="e">
        <v>#REF!</v>
      </c>
      <c r="R44" s="15" t="e">
        <v>#REF!</v>
      </c>
      <c r="S44" s="16"/>
      <c r="T44" s="9"/>
      <c r="U44" s="9"/>
      <c r="V44" s="117">
        <f>VLOOKUP(Table2[[#This Row],[Course Title]],Data!$A$1:$E$56,4,FALSE)</f>
        <v>45</v>
      </c>
      <c r="W44" s="117">
        <f>VLOOKUP(Table2[[#This Row],[Course Title]],Data!$A$1:$E$56,5,FALSE)</f>
        <v>3</v>
      </c>
      <c r="X44" s="117"/>
      <c r="Y44" s="119"/>
      <c r="Z44" s="117"/>
      <c r="AA44" s="117"/>
      <c r="AB44" s="117"/>
      <c r="AC44" s="72"/>
      <c r="AD44" s="50">
        <f ca="1">Table2[[#This Row],[End Date]]+2-TODAY()</f>
        <v>-151</v>
      </c>
      <c r="AE44" s="116">
        <f>IF(ISBLANK(#REF!),1,0)</f>
        <v>0</v>
      </c>
      <c r="AF44" s="116">
        <f ca="1">IF(Table2[[#This Row],[Start Date]]&gt;TODAY(),1,)</f>
        <v>0</v>
      </c>
    </row>
    <row r="45" spans="1:32" s="13" customFormat="1">
      <c r="A45" s="9"/>
      <c r="B45" s="10" t="s">
        <v>23</v>
      </c>
      <c r="C45" s="2" t="s">
        <v>252</v>
      </c>
      <c r="D45" s="3" t="s">
        <v>253</v>
      </c>
      <c r="E45" s="113" t="s">
        <v>158</v>
      </c>
      <c r="F45" s="188">
        <v>45369</v>
      </c>
      <c r="G45" s="108">
        <v>45371</v>
      </c>
      <c r="H45" s="111">
        <v>0.33333333333333331</v>
      </c>
      <c r="I45" s="111"/>
      <c r="J45" s="11"/>
      <c r="K45" s="11"/>
      <c r="L45" s="11"/>
      <c r="M45" s="11"/>
      <c r="N45" s="11"/>
      <c r="O45" s="10" t="s">
        <v>78</v>
      </c>
      <c r="P45" s="10"/>
      <c r="Q45" s="16" t="e">
        <v>#REF!</v>
      </c>
      <c r="R45" s="15" t="e">
        <v>#REF!</v>
      </c>
      <c r="S45" s="16"/>
      <c r="T45" s="9"/>
      <c r="U45" s="9"/>
      <c r="V45" s="117">
        <f>VLOOKUP(Table2[[#This Row],[Course Title]],Data!$A$1:$E$56,4,FALSE)</f>
        <v>25</v>
      </c>
      <c r="W45" s="117">
        <f>VLOOKUP(Table2[[#This Row],[Course Title]],Data!$A$1:$E$56,5,FALSE)</f>
        <v>3</v>
      </c>
      <c r="X45" s="117"/>
      <c r="Y45" s="119"/>
      <c r="Z45" s="117"/>
      <c r="AA45" s="117"/>
      <c r="AB45" s="117"/>
      <c r="AC45" s="72"/>
      <c r="AD45" s="50">
        <f ca="1">Table2[[#This Row],[End Date]]+2-TODAY()</f>
        <v>-151</v>
      </c>
      <c r="AE45" s="116">
        <f>IF(ISBLANK(#REF!),1,0)</f>
        <v>0</v>
      </c>
      <c r="AF45" s="116">
        <f ca="1">IF(Table2[[#This Row],[Start Date]]&gt;TODAY(),1,)</f>
        <v>0</v>
      </c>
    </row>
    <row r="46" spans="1:32" s="13" customFormat="1">
      <c r="A46" s="9"/>
      <c r="B46" s="10" t="s">
        <v>24</v>
      </c>
      <c r="C46" s="2" t="s">
        <v>254</v>
      </c>
      <c r="D46" s="3" t="s">
        <v>255</v>
      </c>
      <c r="E46" s="113" t="s">
        <v>137</v>
      </c>
      <c r="F46" s="188">
        <v>45372</v>
      </c>
      <c r="G46" s="108">
        <v>45372</v>
      </c>
      <c r="H46" s="111">
        <v>0.33333333333333331</v>
      </c>
      <c r="I46" s="111"/>
      <c r="J46" s="11"/>
      <c r="K46" s="11"/>
      <c r="L46" s="11"/>
      <c r="M46" s="11"/>
      <c r="N46" s="11"/>
      <c r="O46" s="10" t="s">
        <v>78</v>
      </c>
      <c r="P46" s="10"/>
      <c r="Q46" s="117">
        <v>30</v>
      </c>
      <c r="R46" s="117">
        <v>1</v>
      </c>
      <c r="S46" s="117"/>
      <c r="T46" s="119"/>
      <c r="U46" s="117"/>
      <c r="V46" s="117"/>
      <c r="W46" s="117"/>
      <c r="X46" s="72"/>
      <c r="Y46" s="50">
        <v>130</v>
      </c>
      <c r="Z46" s="116">
        <v>1</v>
      </c>
      <c r="AA46" s="116">
        <v>1</v>
      </c>
    </row>
    <row r="47" spans="1:32" s="13" customFormat="1">
      <c r="A47" s="9"/>
      <c r="B47" s="10" t="s">
        <v>24</v>
      </c>
      <c r="C47" s="2" t="s">
        <v>254</v>
      </c>
      <c r="D47" s="3" t="s">
        <v>255</v>
      </c>
      <c r="E47" s="113" t="s">
        <v>137</v>
      </c>
      <c r="F47" s="188">
        <v>45373</v>
      </c>
      <c r="G47" s="108">
        <v>45373</v>
      </c>
      <c r="H47" s="111">
        <v>0.33333333333333331</v>
      </c>
      <c r="I47" s="111"/>
      <c r="J47" s="11"/>
      <c r="K47" s="11"/>
      <c r="L47" s="11"/>
      <c r="M47" s="11"/>
      <c r="N47" s="11"/>
      <c r="O47" s="10" t="s">
        <v>78</v>
      </c>
      <c r="P47" s="10"/>
      <c r="Q47" s="117">
        <v>30</v>
      </c>
      <c r="R47" s="117">
        <v>1</v>
      </c>
      <c r="S47" s="117"/>
      <c r="T47" s="119"/>
      <c r="U47" s="117"/>
      <c r="V47" s="117"/>
      <c r="W47" s="117"/>
      <c r="X47" s="72"/>
      <c r="Y47" s="50">
        <v>131</v>
      </c>
      <c r="Z47" s="116">
        <v>1</v>
      </c>
      <c r="AA47" s="116">
        <v>1</v>
      </c>
    </row>
    <row r="48" spans="1:32" s="13" customFormat="1">
      <c r="A48" s="9"/>
      <c r="B48" s="10" t="s">
        <v>17</v>
      </c>
      <c r="C48" s="2" t="str">
        <f>VLOOKUP(Table2[[#This Row],[Course Title]],Data!$A$1:$E$56,2,FALSE)</f>
        <v>Holiday</v>
      </c>
      <c r="D48" s="3" t="str">
        <f>VLOOKUP(Table2[[#This Row],[Course Title]],Data!$A$1:$E$56,3,FALSE)</f>
        <v>Holiday</v>
      </c>
      <c r="E48" s="10" t="s">
        <v>133</v>
      </c>
      <c r="F48" s="186">
        <v>45376</v>
      </c>
      <c r="G48" s="11">
        <v>45380</v>
      </c>
      <c r="H48" s="112">
        <v>0.33333333333333331</v>
      </c>
      <c r="I48" s="112"/>
      <c r="J48" s="112"/>
      <c r="K48" s="112"/>
      <c r="L48" s="112"/>
      <c r="M48" s="112"/>
      <c r="N48" s="11"/>
      <c r="O48" s="9" t="s">
        <v>78</v>
      </c>
      <c r="P48" s="9"/>
      <c r="Q48" s="15" t="e">
        <v>#REF!</v>
      </c>
      <c r="R48" s="15" t="e">
        <v>#REF!</v>
      </c>
      <c r="S48" s="171"/>
      <c r="T48" s="9"/>
      <c r="U48" s="9"/>
      <c r="V48" s="117">
        <f>VLOOKUP(Table2[[#This Row],[Course Title]],Data!$A$1:$E$56,4,FALSE)</f>
        <v>0</v>
      </c>
      <c r="W48" s="117">
        <f>VLOOKUP(Table2[[#This Row],[Course Title]],Data!$A$1:$E$56,5,FALSE)</f>
        <v>0</v>
      </c>
      <c r="X48" s="117"/>
      <c r="Y48" s="119"/>
      <c r="Z48" s="117"/>
      <c r="AA48" s="117"/>
      <c r="AB48" s="117"/>
      <c r="AC48" s="72"/>
      <c r="AD48" s="50">
        <f ca="1">Table2[[#This Row],[End Date]]+2-TODAY()</f>
        <v>-144</v>
      </c>
      <c r="AE48" s="116">
        <f>IF(ISBLANK(#REF!),1,0)</f>
        <v>0</v>
      </c>
      <c r="AF48" s="116">
        <f ca="1">IF(Table2[[#This Row],[Start Date]]&gt;TODAY(),1,)</f>
        <v>0</v>
      </c>
    </row>
    <row r="49" spans="1:32" s="173" customFormat="1">
      <c r="A49" s="9"/>
      <c r="B49" s="110" t="s">
        <v>23</v>
      </c>
      <c r="C49" s="2" t="s">
        <v>252</v>
      </c>
      <c r="D49" s="3" t="s">
        <v>253</v>
      </c>
      <c r="E49" s="10" t="s">
        <v>120</v>
      </c>
      <c r="F49" s="186">
        <v>45376</v>
      </c>
      <c r="G49" s="11">
        <v>45378</v>
      </c>
      <c r="H49" s="111">
        <v>0.33333333333333331</v>
      </c>
      <c r="I49" s="111"/>
      <c r="J49" s="11"/>
      <c r="K49" s="11"/>
      <c r="L49" s="11"/>
      <c r="M49" s="11"/>
      <c r="N49" s="11"/>
      <c r="O49" s="10" t="s">
        <v>78</v>
      </c>
      <c r="P49" s="10"/>
      <c r="Q49" s="16" t="e">
        <v>#REF!</v>
      </c>
      <c r="R49" s="15" t="e">
        <v>#REF!</v>
      </c>
      <c r="S49" s="16"/>
      <c r="T49" s="9"/>
      <c r="U49" s="9"/>
      <c r="V49" s="117">
        <f>VLOOKUP(Table2[[#This Row],[Course Title]],Data!$A$1:$E$56,4,FALSE)</f>
        <v>0</v>
      </c>
      <c r="W49" s="117">
        <f>VLOOKUP(Table2[[#This Row],[Course Title]],Data!$A$1:$E$56,5,FALSE)</f>
        <v>0</v>
      </c>
      <c r="X49" s="117"/>
      <c r="Y49" s="119"/>
      <c r="Z49" s="117"/>
      <c r="AA49" s="117"/>
      <c r="AB49" s="1"/>
      <c r="AC49" s="72"/>
      <c r="AD49" s="50">
        <f ca="1">Table2[[#This Row],[End Date]]+2-TODAY()</f>
        <v>-140</v>
      </c>
      <c r="AE49" s="116">
        <f>IF(ISBLANK(#REF!),1,0)</f>
        <v>0</v>
      </c>
      <c r="AF49" s="116">
        <f ca="1">IF(Table2[[#This Row],[Start Date]]&gt;TODAY(),1,)</f>
        <v>0</v>
      </c>
    </row>
    <row r="50" spans="1:32" s="13" customFormat="1">
      <c r="A50" s="9"/>
      <c r="B50" s="10" t="s">
        <v>24</v>
      </c>
      <c r="C50" s="2" t="s">
        <v>254</v>
      </c>
      <c r="D50" s="3" t="s">
        <v>255</v>
      </c>
      <c r="E50" s="10" t="s">
        <v>120</v>
      </c>
      <c r="F50" s="186">
        <v>45379</v>
      </c>
      <c r="G50" s="11">
        <v>45379</v>
      </c>
      <c r="H50" s="111">
        <v>0.33333333333333331</v>
      </c>
      <c r="I50" s="111"/>
      <c r="J50" s="11"/>
      <c r="K50" s="11"/>
      <c r="L50" s="11"/>
      <c r="M50" s="11"/>
      <c r="N50" s="11"/>
      <c r="O50" s="10" t="s">
        <v>78</v>
      </c>
      <c r="P50" s="10"/>
      <c r="Q50" s="117">
        <v>30</v>
      </c>
      <c r="R50" s="117">
        <v>1</v>
      </c>
      <c r="S50" s="117"/>
      <c r="T50" s="119"/>
      <c r="U50" s="117"/>
      <c r="V50" s="117"/>
      <c r="W50" s="117"/>
      <c r="X50" s="72"/>
      <c r="Y50" s="50">
        <v>137</v>
      </c>
      <c r="Z50" s="116">
        <v>1</v>
      </c>
      <c r="AA50" s="116">
        <v>1</v>
      </c>
    </row>
    <row r="51" spans="1:32" s="13" customFormat="1">
      <c r="A51" s="9"/>
      <c r="B51" s="10" t="s">
        <v>24</v>
      </c>
      <c r="C51" s="2" t="s">
        <v>254</v>
      </c>
      <c r="D51" s="3" t="s">
        <v>255</v>
      </c>
      <c r="E51" s="113" t="s">
        <v>151</v>
      </c>
      <c r="F51" s="188">
        <v>45379</v>
      </c>
      <c r="G51" s="108">
        <v>45379</v>
      </c>
      <c r="H51" s="111">
        <v>0.33333333333333331</v>
      </c>
      <c r="I51" s="111"/>
      <c r="J51" s="11"/>
      <c r="K51" s="11"/>
      <c r="L51" s="11"/>
      <c r="M51" s="11"/>
      <c r="N51" s="11"/>
      <c r="O51" s="10" t="s">
        <v>78</v>
      </c>
      <c r="P51" s="10"/>
      <c r="Q51" s="117">
        <v>30</v>
      </c>
      <c r="R51" s="117">
        <v>1</v>
      </c>
      <c r="S51" s="117"/>
      <c r="T51" s="119"/>
      <c r="U51" s="117"/>
      <c r="V51" s="117"/>
      <c r="W51" s="117"/>
      <c r="X51" s="72"/>
      <c r="Y51" s="50">
        <v>137</v>
      </c>
      <c r="Z51" s="116">
        <v>1</v>
      </c>
      <c r="AA51" s="116">
        <v>1</v>
      </c>
      <c r="AB51" s="9"/>
      <c r="AC51" s="9"/>
      <c r="AD51" s="9"/>
      <c r="AE51" s="9"/>
      <c r="AF51" s="9"/>
    </row>
    <row r="52" spans="1:32" s="155" customFormat="1" ht="15.75" customHeight="1">
      <c r="A52" s="9"/>
      <c r="B52" s="10" t="s">
        <v>24</v>
      </c>
      <c r="C52" s="2" t="s">
        <v>254</v>
      </c>
      <c r="D52" s="3" t="s">
        <v>255</v>
      </c>
      <c r="E52" s="113" t="s">
        <v>151</v>
      </c>
      <c r="F52" s="188">
        <v>45380</v>
      </c>
      <c r="G52" s="108">
        <v>45380</v>
      </c>
      <c r="H52" s="111">
        <v>0.33333333333333331</v>
      </c>
      <c r="I52" s="111"/>
      <c r="J52" s="11"/>
      <c r="K52" s="11"/>
      <c r="L52" s="11"/>
      <c r="M52" s="11"/>
      <c r="N52" s="11"/>
      <c r="O52" s="10" t="s">
        <v>78</v>
      </c>
      <c r="P52" s="10"/>
      <c r="Q52" s="117">
        <v>30</v>
      </c>
      <c r="R52" s="117">
        <v>1</v>
      </c>
      <c r="S52" s="117"/>
      <c r="T52" s="119"/>
      <c r="U52" s="117"/>
      <c r="V52" s="117"/>
      <c r="W52" s="117"/>
      <c r="X52" s="72"/>
      <c r="Y52" s="50">
        <v>138</v>
      </c>
      <c r="Z52" s="116">
        <v>1</v>
      </c>
      <c r="AA52" s="116">
        <v>1</v>
      </c>
      <c r="AB52" s="9"/>
      <c r="AC52" s="9"/>
      <c r="AD52" s="9"/>
      <c r="AE52" s="9"/>
      <c r="AF52" s="9"/>
    </row>
    <row r="53" spans="1:32" s="9" customFormat="1">
      <c r="B53" s="10" t="s">
        <v>23</v>
      </c>
      <c r="C53" s="2" t="s">
        <v>252</v>
      </c>
      <c r="D53" s="3" t="s">
        <v>253</v>
      </c>
      <c r="E53" s="113" t="s">
        <v>160</v>
      </c>
      <c r="F53" s="188">
        <v>45383</v>
      </c>
      <c r="G53" s="108">
        <v>775870</v>
      </c>
      <c r="H53" s="111">
        <v>0.33333333333333331</v>
      </c>
      <c r="I53" s="111"/>
      <c r="J53" s="11"/>
      <c r="K53" s="11"/>
      <c r="L53" s="11"/>
      <c r="M53" s="11"/>
      <c r="N53" s="11"/>
      <c r="O53" s="10" t="s">
        <v>78</v>
      </c>
      <c r="P53" s="10"/>
      <c r="Q53" s="16" t="e">
        <v>#REF!</v>
      </c>
      <c r="R53" s="15" t="e">
        <v>#REF!</v>
      </c>
      <c r="S53" s="16"/>
      <c r="V53" s="117">
        <f>VLOOKUP(Table2[[#This Row],[Course Title]],Data!$A$1:$E$56,4,FALSE)</f>
        <v>30</v>
      </c>
      <c r="W53" s="117">
        <f>VLOOKUP(Table2[[#This Row],[Course Title]],Data!$A$1:$E$56,5,FALSE)</f>
        <v>4</v>
      </c>
      <c r="X53" s="117"/>
      <c r="Y53" s="119"/>
      <c r="Z53" s="117"/>
      <c r="AA53" s="117"/>
      <c r="AB53" s="117"/>
      <c r="AC53" s="72"/>
      <c r="AD53" s="50">
        <f ca="1">Table2[[#This Row],[End Date]]+2-TODAY()</f>
        <v>-136</v>
      </c>
      <c r="AE53" s="116">
        <f>IF(ISBLANK(#REF!),1,0)</f>
        <v>0</v>
      </c>
      <c r="AF53" s="116">
        <f ca="1">IF(Table2[[#This Row],[Start Date]]&gt;TODAY(),1,)</f>
        <v>0</v>
      </c>
    </row>
    <row r="54" spans="1:32" s="9" customFormat="1">
      <c r="B54" s="110" t="s">
        <v>23</v>
      </c>
      <c r="C54" s="2" t="s">
        <v>252</v>
      </c>
      <c r="D54" s="3" t="s">
        <v>253</v>
      </c>
      <c r="E54" s="113" t="s">
        <v>146</v>
      </c>
      <c r="F54" s="188">
        <v>45390</v>
      </c>
      <c r="G54" s="108">
        <v>45392</v>
      </c>
      <c r="H54" s="111">
        <v>0.33333333333333331</v>
      </c>
      <c r="I54" s="111"/>
      <c r="J54" s="11"/>
      <c r="K54" s="11"/>
      <c r="L54" s="11"/>
      <c r="M54" s="11"/>
      <c r="N54" s="11"/>
      <c r="O54" s="10" t="s">
        <v>78</v>
      </c>
      <c r="P54" s="10"/>
      <c r="Q54" s="16" t="e">
        <v>#REF!</v>
      </c>
      <c r="R54" s="15" t="e">
        <v>#REF!</v>
      </c>
      <c r="S54" s="16"/>
      <c r="V54" s="117">
        <f>VLOOKUP(Table2[[#This Row],[Course Title]],Data!$A$1:$E$56,4,FALSE)</f>
        <v>45</v>
      </c>
      <c r="W54" s="117">
        <f>VLOOKUP(Table2[[#This Row],[Course Title]],Data!$A$1:$E$56,5,FALSE)</f>
        <v>4</v>
      </c>
      <c r="X54" s="117"/>
      <c r="Y54" s="119"/>
      <c r="Z54" s="117"/>
      <c r="AA54" s="117"/>
      <c r="AB54" s="117"/>
      <c r="AC54" s="72"/>
      <c r="AD54" s="50">
        <f ca="1">Table2[[#This Row],[End Date]]+2-TODAY()</f>
        <v>-129</v>
      </c>
      <c r="AE54" s="116">
        <f>IF(ISBLANK(#REF!),1,0)</f>
        <v>0</v>
      </c>
      <c r="AF54" s="116">
        <f ca="1">IF(Table2[[#This Row],[Start Date]]&gt;TODAY(),1,)</f>
        <v>0</v>
      </c>
    </row>
    <row r="55" spans="1:32" s="175" customFormat="1" ht="15.75" customHeight="1">
      <c r="A55" s="9"/>
      <c r="B55" s="10" t="s">
        <v>25</v>
      </c>
      <c r="C55" s="2" t="s">
        <v>256</v>
      </c>
      <c r="D55" s="3" t="s">
        <v>257</v>
      </c>
      <c r="E55" s="10" t="s">
        <v>138</v>
      </c>
      <c r="F55" s="186">
        <v>45390</v>
      </c>
      <c r="G55" s="11">
        <v>45391</v>
      </c>
      <c r="H55" s="112">
        <v>0.33333333333333331</v>
      </c>
      <c r="I55" s="112"/>
      <c r="J55" s="11"/>
      <c r="K55" s="11"/>
      <c r="L55" s="11"/>
      <c r="M55" s="11"/>
      <c r="N55" s="11"/>
      <c r="O55" s="10" t="s">
        <v>78</v>
      </c>
      <c r="P55" s="10"/>
      <c r="Q55" s="16" t="e">
        <v>#REF!</v>
      </c>
      <c r="R55" s="15" t="e">
        <v>#REF!</v>
      </c>
      <c r="S55" s="16"/>
      <c r="T55" s="9"/>
      <c r="U55" s="9"/>
      <c r="V55" s="117">
        <f>VLOOKUP(Table2[[#This Row],[Course Title]],Data!$A$1:$E$56,4,FALSE)</f>
        <v>45</v>
      </c>
      <c r="W55" s="117">
        <f>VLOOKUP(Table2[[#This Row],[Course Title]],Data!$A$1:$E$56,5,FALSE)</f>
        <v>5</v>
      </c>
      <c r="X55" s="117"/>
      <c r="Y55" s="119"/>
      <c r="Z55" s="117"/>
      <c r="AA55" s="117"/>
      <c r="AB55" s="117"/>
      <c r="AC55" s="72"/>
      <c r="AD55" s="50">
        <f ca="1">Table2[[#This Row],[End Date]]+2-TODAY()</f>
        <v>-129</v>
      </c>
      <c r="AE55" s="116">
        <f>IF(ISBLANK(#REF!),1,0)</f>
        <v>0</v>
      </c>
      <c r="AF55" s="116">
        <f ca="1">IF(Table2[[#This Row],[Start Date]]&gt;TODAY(),1,)</f>
        <v>0</v>
      </c>
    </row>
    <row r="56" spans="1:32" s="9" customFormat="1">
      <c r="A56" s="9" t="s">
        <v>435</v>
      </c>
      <c r="B56" s="10" t="s">
        <v>18</v>
      </c>
      <c r="C56" s="2" t="str">
        <f>VLOOKUP(Table2[[#This Row],[Course Title]],Data!$A$1:$E$56,2,FALSE)</f>
        <v>A-570-0100</v>
      </c>
      <c r="D56" s="3" t="str">
        <f>VLOOKUP(Table2[[#This Row],[Course Title]],Data!$A$1:$E$56,3,FALSE)</f>
        <v>18B7</v>
      </c>
      <c r="E56" s="10" t="s">
        <v>166</v>
      </c>
      <c r="F56" s="186">
        <v>45392</v>
      </c>
      <c r="G56" s="11">
        <v>45394</v>
      </c>
      <c r="H56" s="112">
        <v>0.33333333333333331</v>
      </c>
      <c r="I56" s="112"/>
      <c r="J56" s="11"/>
      <c r="K56" s="11"/>
      <c r="L56" s="11"/>
      <c r="M56" s="11"/>
      <c r="N56" s="11"/>
      <c r="O56" s="10" t="s">
        <v>78</v>
      </c>
      <c r="P56" s="10"/>
      <c r="Q56" s="16" t="e">
        <v>#REF!</v>
      </c>
      <c r="R56" s="15" t="e">
        <v>#REF!</v>
      </c>
      <c r="S56" s="16"/>
      <c r="V56" s="117">
        <f>VLOOKUP(Table2[[#This Row],[Course Title]],Data!$A$1:$E$56,4,FALSE)</f>
        <v>30</v>
      </c>
      <c r="W56" s="117">
        <f>VLOOKUP(Table2[[#This Row],[Course Title]],Data!$A$1:$E$56,5,FALSE)</f>
        <v>4</v>
      </c>
      <c r="X56" s="117"/>
      <c r="Y56" s="119"/>
      <c r="Z56" s="117"/>
      <c r="AA56" s="117"/>
      <c r="AB56" s="117"/>
      <c r="AC56" s="72"/>
      <c r="AD56" s="50">
        <f ca="1">Table2[[#This Row],[End Date]]+2-TODAY()</f>
        <v>-130</v>
      </c>
      <c r="AE56" s="116">
        <f>IF(ISBLANK(#REF!),1,0)</f>
        <v>0</v>
      </c>
      <c r="AF56" s="116">
        <f ca="1">IF(Table2[[#This Row],[Start Date]]&gt;TODAY(),1,)</f>
        <v>0</v>
      </c>
    </row>
    <row r="57" spans="1:32" s="174" customFormat="1">
      <c r="A57" s="9"/>
      <c r="B57" s="10" t="s">
        <v>27</v>
      </c>
      <c r="C57" s="2" t="s">
        <v>263</v>
      </c>
      <c r="D57" s="3" t="s">
        <v>264</v>
      </c>
      <c r="E57" s="10" t="s">
        <v>138</v>
      </c>
      <c r="F57" s="186">
        <v>45392</v>
      </c>
      <c r="G57" s="11">
        <v>45392</v>
      </c>
      <c r="H57" s="112">
        <v>0.33333333333333331</v>
      </c>
      <c r="I57" s="112"/>
      <c r="J57" s="11"/>
      <c r="K57" s="11"/>
      <c r="L57" s="11"/>
      <c r="M57" s="11"/>
      <c r="N57" s="11"/>
      <c r="O57" s="10" t="s">
        <v>78</v>
      </c>
      <c r="P57" s="10"/>
      <c r="Q57" s="16" t="e">
        <v>#REF!</v>
      </c>
      <c r="R57" s="15" t="e">
        <v>#REF!</v>
      </c>
      <c r="S57" s="16"/>
      <c r="T57" s="9"/>
      <c r="U57" s="9"/>
      <c r="V57" s="117">
        <f>VLOOKUP(Table2[[#This Row],[Course Title]],Data!$A$1:$E$56,4,FALSE)</f>
        <v>30</v>
      </c>
      <c r="W57" s="117">
        <f>VLOOKUP(Table2[[#This Row],[Course Title]],Data!$A$1:$E$56,5,FALSE)</f>
        <v>4</v>
      </c>
      <c r="X57" s="117"/>
      <c r="Y57" s="119"/>
      <c r="Z57" s="117"/>
      <c r="AA57" s="117"/>
      <c r="AB57" s="117"/>
      <c r="AC57" s="72"/>
      <c r="AD57" s="50">
        <f ca="1">Table2[[#This Row],[End Date]]+2-TODAY()</f>
        <v>-130</v>
      </c>
      <c r="AE57" s="116">
        <f>IF(ISBLANK(#REF!),1,0)</f>
        <v>0</v>
      </c>
      <c r="AF57" s="116">
        <f ca="1">IF(Table2[[#This Row],[Start Date]]&gt;TODAY(),1,)</f>
        <v>0</v>
      </c>
    </row>
    <row r="58" spans="1:32">
      <c r="A58" s="9"/>
      <c r="B58" s="10" t="s">
        <v>26</v>
      </c>
      <c r="C58" s="2" t="s">
        <v>259</v>
      </c>
      <c r="D58" s="3" t="s">
        <v>260</v>
      </c>
      <c r="E58" s="10" t="s">
        <v>138</v>
      </c>
      <c r="F58" s="186">
        <v>45393</v>
      </c>
      <c r="G58" s="11" t="s">
        <v>436</v>
      </c>
      <c r="H58" s="112">
        <v>0.33333333333333331</v>
      </c>
      <c r="I58" s="112"/>
      <c r="J58" s="11"/>
      <c r="K58" s="11"/>
      <c r="L58" s="11"/>
      <c r="M58" s="11"/>
      <c r="N58" s="11"/>
      <c r="O58" s="10" t="s">
        <v>78</v>
      </c>
      <c r="P58" s="10"/>
      <c r="Q58" s="16" t="e">
        <v>#REF!</v>
      </c>
      <c r="R58" s="15" t="e">
        <v>#REF!</v>
      </c>
      <c r="S58" s="16"/>
      <c r="T58" s="9"/>
      <c r="U58" s="9"/>
      <c r="V58" s="117">
        <f>VLOOKUP(Table2[[#This Row],[Course Title]],Data!$A$1:$E$56,4,FALSE)</f>
        <v>40</v>
      </c>
      <c r="W58" s="117">
        <f>VLOOKUP(Table2[[#This Row],[Course Title]],Data!$A$1:$E$56,5,FALSE)</f>
        <v>3</v>
      </c>
      <c r="X58" s="117"/>
      <c r="Y58" s="119"/>
      <c r="Z58" s="117"/>
      <c r="AA58" s="117"/>
      <c r="AB58" s="1"/>
      <c r="AC58" s="72"/>
      <c r="AD58" s="50">
        <f ca="1">Table2[[#This Row],[End Date]]+2-TODAY()</f>
        <v>-130</v>
      </c>
      <c r="AE58" s="116">
        <f>IF(ISBLANK(#REF!),1,0)</f>
        <v>0</v>
      </c>
      <c r="AF58" s="116">
        <f ca="1">IF(Table2[[#This Row],[Start Date]]&gt;TODAY(),1,)</f>
        <v>0</v>
      </c>
    </row>
    <row r="59" spans="1:32" s="14" customFormat="1" ht="14.25" customHeight="1">
      <c r="A59" s="9"/>
      <c r="B59" s="10" t="s">
        <v>24</v>
      </c>
      <c r="C59" s="2" t="s">
        <v>254</v>
      </c>
      <c r="D59" s="3" t="s">
        <v>255</v>
      </c>
      <c r="E59" s="113" t="s">
        <v>146</v>
      </c>
      <c r="F59" s="188">
        <v>45393</v>
      </c>
      <c r="G59" s="108">
        <v>45393</v>
      </c>
      <c r="H59" s="111">
        <v>0.33333333333333331</v>
      </c>
      <c r="I59" s="111"/>
      <c r="J59" s="11"/>
      <c r="K59" s="11"/>
      <c r="L59" s="11"/>
      <c r="M59" s="11"/>
      <c r="N59" s="11"/>
      <c r="O59" s="10" t="s">
        <v>78</v>
      </c>
      <c r="P59" s="10"/>
      <c r="Q59" s="117">
        <v>30</v>
      </c>
      <c r="R59" s="117">
        <v>1</v>
      </c>
      <c r="S59" s="117"/>
      <c r="T59" s="119"/>
      <c r="U59" s="117"/>
      <c r="V59" s="117"/>
      <c r="W59" s="117"/>
      <c r="X59" s="72"/>
      <c r="Y59" s="50">
        <v>151</v>
      </c>
      <c r="Z59" s="116">
        <v>1</v>
      </c>
      <c r="AA59" s="116">
        <v>1</v>
      </c>
      <c r="AB59" s="9"/>
      <c r="AC59" s="9"/>
      <c r="AD59" s="9"/>
      <c r="AE59" s="9"/>
      <c r="AF59" s="9"/>
    </row>
    <row r="60" spans="1:32" s="13" customFormat="1">
      <c r="A60" s="9"/>
      <c r="B60" s="10" t="s">
        <v>24</v>
      </c>
      <c r="C60" s="2" t="s">
        <v>254</v>
      </c>
      <c r="D60" s="3" t="s">
        <v>255</v>
      </c>
      <c r="E60" s="110" t="s">
        <v>140</v>
      </c>
      <c r="F60" s="188">
        <v>45394</v>
      </c>
      <c r="G60" s="108">
        <v>45394</v>
      </c>
      <c r="H60" s="111">
        <v>0.33333333333333331</v>
      </c>
      <c r="I60" s="111"/>
      <c r="J60" s="11"/>
      <c r="K60" s="11"/>
      <c r="L60" s="11"/>
      <c r="M60" s="11"/>
      <c r="N60" s="11"/>
      <c r="O60" s="10" t="s">
        <v>78</v>
      </c>
      <c r="P60" s="10"/>
      <c r="Q60" s="117">
        <v>30</v>
      </c>
      <c r="R60" s="117">
        <v>1</v>
      </c>
      <c r="S60" s="117"/>
      <c r="T60" s="119"/>
      <c r="U60" s="117"/>
      <c r="V60" s="117"/>
      <c r="W60" s="117"/>
      <c r="X60" s="72"/>
      <c r="Y60" s="50">
        <v>152</v>
      </c>
      <c r="Z60" s="116">
        <v>1</v>
      </c>
      <c r="AA60" s="116">
        <v>1</v>
      </c>
    </row>
    <row r="61" spans="1:32" s="52" customFormat="1" ht="15.75" customHeight="1">
      <c r="A61" s="9"/>
      <c r="B61" s="10" t="s">
        <v>24</v>
      </c>
      <c r="C61" s="2" t="s">
        <v>254</v>
      </c>
      <c r="D61" s="3" t="s">
        <v>255</v>
      </c>
      <c r="E61" s="113" t="s">
        <v>146</v>
      </c>
      <c r="F61" s="188">
        <v>45394</v>
      </c>
      <c r="G61" s="108">
        <v>45394</v>
      </c>
      <c r="H61" s="111">
        <v>0.33333333333333331</v>
      </c>
      <c r="I61" s="111"/>
      <c r="J61" s="11"/>
      <c r="K61" s="11"/>
      <c r="L61" s="11"/>
      <c r="M61" s="11"/>
      <c r="N61" s="11"/>
      <c r="O61" s="10" t="s">
        <v>78</v>
      </c>
      <c r="P61" s="10"/>
      <c r="Q61" s="117">
        <v>30</v>
      </c>
      <c r="R61" s="117">
        <v>1</v>
      </c>
      <c r="S61" s="117"/>
      <c r="T61" s="119"/>
      <c r="U61" s="117"/>
      <c r="V61" s="117"/>
      <c r="W61" s="117"/>
      <c r="X61" s="72"/>
      <c r="Y61" s="50">
        <v>152</v>
      </c>
      <c r="Z61" s="116">
        <v>1</v>
      </c>
      <c r="AA61" s="116">
        <v>1</v>
      </c>
      <c r="AB61" s="13"/>
      <c r="AC61" s="13"/>
      <c r="AD61" s="13"/>
      <c r="AE61" s="13"/>
      <c r="AF61" s="13"/>
    </row>
    <row r="62" spans="1:32" s="52" customFormat="1" ht="15.75" customHeight="1">
      <c r="A62" s="9"/>
      <c r="B62" s="10" t="s">
        <v>25</v>
      </c>
      <c r="C62" s="2" t="s">
        <v>256</v>
      </c>
      <c r="D62" s="3" t="s">
        <v>257</v>
      </c>
      <c r="E62" s="113" t="s">
        <v>103</v>
      </c>
      <c r="F62" s="186">
        <v>45397</v>
      </c>
      <c r="G62" s="11">
        <v>45398</v>
      </c>
      <c r="H62" s="112">
        <v>0.33333333333333331</v>
      </c>
      <c r="I62" s="112"/>
      <c r="J62" s="11"/>
      <c r="K62" s="11"/>
      <c r="L62" s="11"/>
      <c r="M62" s="11"/>
      <c r="N62" s="11"/>
      <c r="O62" s="10" t="s">
        <v>78</v>
      </c>
      <c r="P62" s="10"/>
      <c r="Q62" s="117">
        <v>30</v>
      </c>
      <c r="R62" s="117">
        <v>2</v>
      </c>
      <c r="S62" s="117"/>
      <c r="T62" s="119"/>
      <c r="U62" s="117"/>
      <c r="V62" s="117"/>
      <c r="W62" s="117"/>
      <c r="X62" s="72"/>
      <c r="Y62" s="50">
        <v>156</v>
      </c>
      <c r="Z62" s="116">
        <v>1</v>
      </c>
      <c r="AA62" s="116">
        <v>1</v>
      </c>
      <c r="AB62" s="13"/>
      <c r="AC62" s="13"/>
      <c r="AD62" s="13"/>
      <c r="AE62" s="13"/>
      <c r="AF62" s="13"/>
    </row>
    <row r="63" spans="1:32" s="9" customFormat="1">
      <c r="B63" s="110" t="s">
        <v>23</v>
      </c>
      <c r="C63" s="2" t="s">
        <v>252</v>
      </c>
      <c r="D63" s="3" t="s">
        <v>253</v>
      </c>
      <c r="E63" s="113" t="s">
        <v>110</v>
      </c>
      <c r="F63" s="188">
        <v>45405</v>
      </c>
      <c r="G63" s="108">
        <v>45407</v>
      </c>
      <c r="H63" s="111">
        <v>0.33333333333333331</v>
      </c>
      <c r="I63" s="111"/>
      <c r="J63" s="11"/>
      <c r="K63" s="11"/>
      <c r="L63" s="11"/>
      <c r="M63" s="11"/>
      <c r="N63" s="11"/>
      <c r="O63" s="10" t="s">
        <v>78</v>
      </c>
      <c r="P63" s="10"/>
      <c r="Q63" s="16" t="e">
        <v>#REF!</v>
      </c>
      <c r="R63" s="15" t="e">
        <v>#REF!</v>
      </c>
      <c r="S63" s="16"/>
      <c r="V63" s="117">
        <f>VLOOKUP(Table2[[#This Row],[Course Title]],Data!$A$1:$E$56,4,FALSE)</f>
        <v>100</v>
      </c>
      <c r="W63" s="117">
        <f>VLOOKUP(Table2[[#This Row],[Course Title]],Data!$A$1:$E$56,5,FALSE)</f>
        <v>5</v>
      </c>
      <c r="X63" s="117"/>
      <c r="Y63" s="119"/>
      <c r="Z63" s="117"/>
      <c r="AA63" s="117"/>
      <c r="AB63" s="117"/>
      <c r="AC63" s="72"/>
      <c r="AD63" s="50">
        <f ca="1">Table2[[#This Row],[End Date]]+2-TODAY()</f>
        <v>-122</v>
      </c>
      <c r="AE63" s="116">
        <f>IF(ISBLANK(#REF!),1,0)</f>
        <v>0</v>
      </c>
      <c r="AF63" s="116">
        <f ca="1">IF(Table2[[#This Row],[Start Date]]&gt;TODAY(),1,)</f>
        <v>0</v>
      </c>
    </row>
    <row r="64" spans="1:32" s="9" customFormat="1">
      <c r="B64" s="10" t="s">
        <v>24</v>
      </c>
      <c r="C64" s="2" t="s">
        <v>254</v>
      </c>
      <c r="D64" s="3" t="s">
        <v>255</v>
      </c>
      <c r="E64" s="113" t="s">
        <v>110</v>
      </c>
      <c r="F64" s="188">
        <v>45408</v>
      </c>
      <c r="G64" s="108">
        <v>45408</v>
      </c>
      <c r="H64" s="111">
        <v>0.33333333333333331</v>
      </c>
      <c r="I64" s="111"/>
      <c r="J64" s="11"/>
      <c r="K64" s="11"/>
      <c r="L64" s="11"/>
      <c r="M64" s="11"/>
      <c r="N64" s="11"/>
      <c r="O64" s="10" t="s">
        <v>78</v>
      </c>
      <c r="P64" s="10"/>
      <c r="Q64" s="117">
        <v>30</v>
      </c>
      <c r="R64" s="117">
        <v>1</v>
      </c>
      <c r="S64" s="117"/>
      <c r="T64" s="119"/>
      <c r="U64" s="117"/>
      <c r="V64" s="117"/>
      <c r="W64" s="117"/>
      <c r="X64" s="72"/>
      <c r="Y64" s="50">
        <v>166</v>
      </c>
      <c r="Z64" s="116">
        <v>1</v>
      </c>
      <c r="AA64" s="116">
        <v>1</v>
      </c>
      <c r="AB64" s="13"/>
      <c r="AC64" s="13"/>
      <c r="AD64" s="13"/>
      <c r="AE64" s="13"/>
      <c r="AF64" s="13"/>
    </row>
    <row r="65" spans="1:32" s="9" customFormat="1">
      <c r="B65" s="110" t="s">
        <v>23</v>
      </c>
      <c r="C65" s="2" t="s">
        <v>252</v>
      </c>
      <c r="D65" s="3" t="s">
        <v>253</v>
      </c>
      <c r="E65" s="113" t="s">
        <v>131</v>
      </c>
      <c r="F65" s="188">
        <v>45411</v>
      </c>
      <c r="G65" s="108">
        <v>45413</v>
      </c>
      <c r="H65" s="111">
        <v>0.33333333333333331</v>
      </c>
      <c r="I65" s="111"/>
      <c r="J65" s="11"/>
      <c r="K65" s="11"/>
      <c r="L65" s="11"/>
      <c r="M65" s="11"/>
      <c r="N65" s="11"/>
      <c r="O65" s="10" t="s">
        <v>78</v>
      </c>
      <c r="P65" s="10"/>
      <c r="Q65" s="16" t="e">
        <v>#REF!</v>
      </c>
      <c r="R65" s="15" t="e">
        <v>#REF!</v>
      </c>
      <c r="S65" s="16"/>
      <c r="V65" s="117">
        <f>VLOOKUP(Table2[[#This Row],[Course Title]],Data!$A$1:$E$56,4,FALSE)</f>
        <v>45</v>
      </c>
      <c r="W65" s="117">
        <f>VLOOKUP(Table2[[#This Row],[Course Title]],Data!$A$1:$E$56,5,FALSE)</f>
        <v>5</v>
      </c>
      <c r="X65" s="117"/>
      <c r="Y65" s="119"/>
      <c r="Z65" s="117"/>
      <c r="AA65" s="117"/>
      <c r="AB65" s="117"/>
      <c r="AC65" s="72"/>
      <c r="AD65" s="50">
        <f ca="1">Table2[[#This Row],[End Date]]+2-TODAY()</f>
        <v>-115</v>
      </c>
      <c r="AE65" s="116">
        <f>IF(ISBLANK(#REF!),1,0)</f>
        <v>0</v>
      </c>
      <c r="AF65" s="116">
        <f ca="1">IF(Table2[[#This Row],[Start Date]]&gt;TODAY(),1,)</f>
        <v>0</v>
      </c>
    </row>
    <row r="66" spans="1:32" s="73" customFormat="1" ht="14.25" customHeight="1">
      <c r="A66" s="9"/>
      <c r="B66" s="110" t="s">
        <v>23</v>
      </c>
      <c r="C66" s="2" t="s">
        <v>252</v>
      </c>
      <c r="D66" s="3" t="s">
        <v>253</v>
      </c>
      <c r="E66" s="113" t="s">
        <v>144</v>
      </c>
      <c r="F66" s="188">
        <v>45411</v>
      </c>
      <c r="G66" s="108">
        <v>45413</v>
      </c>
      <c r="H66" s="111">
        <v>0.33333333333333331</v>
      </c>
      <c r="I66" s="111"/>
      <c r="J66" s="11"/>
      <c r="K66" s="11"/>
      <c r="L66" s="11"/>
      <c r="M66" s="11"/>
      <c r="N66" s="11"/>
      <c r="O66" s="10" t="s">
        <v>78</v>
      </c>
      <c r="P66" s="10"/>
      <c r="Q66" s="16" t="e">
        <v>#REF!</v>
      </c>
      <c r="R66" s="15" t="e">
        <v>#REF!</v>
      </c>
      <c r="S66" s="16"/>
      <c r="T66" s="9"/>
      <c r="U66" s="9"/>
      <c r="V66" s="117">
        <f>VLOOKUP(Table2[[#This Row],[Course Title]],Data!$A$1:$E$56,4,FALSE)</f>
        <v>0</v>
      </c>
      <c r="W66" s="117">
        <f>VLOOKUP(Table2[[#This Row],[Course Title]],Data!$A$1:$E$56,5,FALSE)</f>
        <v>0</v>
      </c>
      <c r="X66" s="117"/>
      <c r="Y66" s="119"/>
      <c r="Z66" s="117"/>
      <c r="AA66" s="117"/>
      <c r="AB66" s="117"/>
      <c r="AC66" s="72"/>
      <c r="AD66" s="50">
        <f ca="1">Table2[[#This Row],[End Date]]+2-TODAY()</f>
        <v>-118</v>
      </c>
      <c r="AE66" s="116">
        <f>IF(ISBLANK(#REF!),1,0)</f>
        <v>0</v>
      </c>
      <c r="AF66" s="116">
        <f ca="1">IF(Table2[[#This Row],[Start Date]]&gt;TODAY(),1,)</f>
        <v>0</v>
      </c>
    </row>
    <row r="67" spans="1:32">
      <c r="A67" s="9"/>
      <c r="B67" s="10" t="s">
        <v>24</v>
      </c>
      <c r="C67" s="2" t="s">
        <v>254</v>
      </c>
      <c r="D67" s="3" t="s">
        <v>255</v>
      </c>
      <c r="E67" s="113" t="s">
        <v>131</v>
      </c>
      <c r="F67" s="188">
        <v>45414</v>
      </c>
      <c r="G67" s="108">
        <v>45414</v>
      </c>
      <c r="H67" s="111">
        <v>0.33333333333333331</v>
      </c>
      <c r="I67" s="111"/>
      <c r="J67" s="11"/>
      <c r="K67" s="11"/>
      <c r="L67" s="11"/>
      <c r="M67" s="11"/>
      <c r="N67" s="11"/>
      <c r="O67" s="10" t="s">
        <v>78</v>
      </c>
      <c r="P67" s="10"/>
      <c r="Q67" s="117">
        <v>30</v>
      </c>
      <c r="R67" s="117">
        <v>1</v>
      </c>
      <c r="S67" s="117"/>
      <c r="T67" s="119"/>
      <c r="U67" s="117"/>
      <c r="V67" s="117"/>
      <c r="W67" s="117"/>
      <c r="X67" s="72"/>
      <c r="Y67" s="50">
        <v>172</v>
      </c>
      <c r="Z67" s="116">
        <v>1</v>
      </c>
      <c r="AA67" s="116">
        <v>1</v>
      </c>
      <c r="AB67" s="13"/>
      <c r="AC67" s="13"/>
      <c r="AD67" s="13"/>
      <c r="AE67" s="13"/>
      <c r="AF67" s="13"/>
    </row>
    <row r="68" spans="1:32">
      <c r="A68" s="9"/>
      <c r="B68" s="10" t="s">
        <v>24</v>
      </c>
      <c r="C68" s="2" t="s">
        <v>254</v>
      </c>
      <c r="D68" s="3" t="s">
        <v>255</v>
      </c>
      <c r="E68" s="113" t="s">
        <v>144</v>
      </c>
      <c r="F68" s="188">
        <v>45414</v>
      </c>
      <c r="G68" s="108">
        <v>45414</v>
      </c>
      <c r="H68" s="111">
        <v>0.33333333333333331</v>
      </c>
      <c r="I68" s="111"/>
      <c r="J68" s="11"/>
      <c r="K68" s="11"/>
      <c r="L68" s="11"/>
      <c r="M68" s="11"/>
      <c r="N68" s="11"/>
      <c r="O68" s="10" t="s">
        <v>78</v>
      </c>
      <c r="P68" s="10"/>
      <c r="Q68" s="117">
        <v>30</v>
      </c>
      <c r="R68" s="117">
        <v>1</v>
      </c>
      <c r="S68" s="117"/>
      <c r="T68" s="119"/>
      <c r="U68" s="117"/>
      <c r="V68" s="117"/>
      <c r="W68" s="1"/>
      <c r="X68" s="72"/>
      <c r="Y68" s="50">
        <v>172</v>
      </c>
      <c r="Z68" s="116">
        <v>1</v>
      </c>
      <c r="AA68" s="116">
        <v>1</v>
      </c>
      <c r="AB68" s="13"/>
      <c r="AC68" s="13"/>
      <c r="AD68" s="13"/>
      <c r="AE68" s="13"/>
      <c r="AF68" s="13"/>
    </row>
    <row r="69" spans="1:32">
      <c r="A69" s="9"/>
      <c r="B69" s="110" t="s">
        <v>23</v>
      </c>
      <c r="C69" s="2" t="s">
        <v>252</v>
      </c>
      <c r="D69" s="3" t="s">
        <v>253</v>
      </c>
      <c r="E69" s="113" t="s">
        <v>115</v>
      </c>
      <c r="F69" s="188">
        <v>45418</v>
      </c>
      <c r="G69" s="108">
        <v>45420</v>
      </c>
      <c r="H69" s="111">
        <v>0.33333333333333331</v>
      </c>
      <c r="I69" s="111"/>
      <c r="J69" s="11"/>
      <c r="K69" s="11"/>
      <c r="L69" s="11"/>
      <c r="M69" s="11"/>
      <c r="N69" s="11"/>
      <c r="O69" s="10" t="s">
        <v>78</v>
      </c>
      <c r="P69" s="10"/>
      <c r="Q69" s="16" t="e">
        <v>#REF!</v>
      </c>
      <c r="R69" s="15" t="e">
        <v>#REF!</v>
      </c>
      <c r="S69" s="16"/>
      <c r="T69" s="9"/>
      <c r="U69" s="9"/>
      <c r="V69" s="117">
        <f>VLOOKUP(Table2[[#This Row],[Course Title]],Data!$A$1:$E$56,4,FALSE)</f>
        <v>30</v>
      </c>
      <c r="W69" s="117">
        <f>VLOOKUP(Table2[[#This Row],[Course Title]],Data!$A$1:$E$56,5,FALSE)</f>
        <v>4</v>
      </c>
      <c r="X69" s="117"/>
      <c r="Y69" s="119"/>
      <c r="Z69" s="117"/>
      <c r="AA69" s="117"/>
      <c r="AB69" s="117"/>
      <c r="AC69" s="72"/>
      <c r="AD69" s="50">
        <f ca="1">Table2[[#This Row],[End Date]]+2-TODAY()</f>
        <v>-101</v>
      </c>
      <c r="AE69" s="116">
        <f>IF(ISBLANK(#REF!),1,0)</f>
        <v>0</v>
      </c>
      <c r="AF69" s="116">
        <f ca="1">IF(Table2[[#This Row],[Start Date]]&gt;TODAY(),1,)</f>
        <v>0</v>
      </c>
    </row>
    <row r="70" spans="1:32" s="52" customFormat="1" ht="15.75" customHeight="1">
      <c r="A70" s="9"/>
      <c r="B70" s="110" t="s">
        <v>23</v>
      </c>
      <c r="C70" s="2" t="s">
        <v>252</v>
      </c>
      <c r="D70" s="3" t="s">
        <v>253</v>
      </c>
      <c r="E70" s="113" t="s">
        <v>279</v>
      </c>
      <c r="F70" s="188">
        <v>45418</v>
      </c>
      <c r="G70" s="108">
        <v>45420</v>
      </c>
      <c r="H70" s="111">
        <v>0.33333333333333331</v>
      </c>
      <c r="I70" s="111"/>
      <c r="J70" s="11"/>
      <c r="K70" s="11"/>
      <c r="L70" s="11"/>
      <c r="M70" s="11"/>
      <c r="N70" s="11"/>
      <c r="O70" s="10" t="s">
        <v>78</v>
      </c>
      <c r="P70" s="10"/>
      <c r="Q70" s="16" t="e">
        <v>#REF!</v>
      </c>
      <c r="R70" s="15" t="e">
        <v>#REF!</v>
      </c>
      <c r="S70" s="16"/>
      <c r="T70" s="9"/>
      <c r="U70" s="9"/>
      <c r="V70" s="117">
        <f>VLOOKUP(Table2[[#This Row],[Course Title]],Data!$A$1:$E$56,4,FALSE)</f>
        <v>45</v>
      </c>
      <c r="W70" s="117">
        <f>VLOOKUP(Table2[[#This Row],[Course Title]],Data!$A$1:$E$56,5,FALSE)</f>
        <v>5</v>
      </c>
      <c r="X70" s="117"/>
      <c r="Y70" s="119"/>
      <c r="Z70" s="117"/>
      <c r="AA70" s="117"/>
      <c r="AB70" s="117"/>
      <c r="AC70" s="72"/>
      <c r="AD70" s="50">
        <f ca="1">Table2[[#This Row],[End Date]]+2-TODAY()</f>
        <v>-94</v>
      </c>
      <c r="AE70" s="116">
        <f>IF(ISBLANK(#REF!),1,0)</f>
        <v>0</v>
      </c>
      <c r="AF70" s="116">
        <f ca="1">IF(Table2[[#This Row],[Start Date]]&gt;TODAY(),1,)</f>
        <v>0</v>
      </c>
    </row>
    <row r="71" spans="1:32" s="9" customFormat="1">
      <c r="B71" s="10" t="s">
        <v>24</v>
      </c>
      <c r="C71" s="2" t="s">
        <v>254</v>
      </c>
      <c r="D71" s="3" t="s">
        <v>255</v>
      </c>
      <c r="E71" s="3" t="s">
        <v>157</v>
      </c>
      <c r="F71" s="186">
        <v>45419</v>
      </c>
      <c r="G71" s="11">
        <v>45419</v>
      </c>
      <c r="H71" s="111">
        <v>0.33333333333333331</v>
      </c>
      <c r="I71" s="111"/>
      <c r="J71" s="114"/>
      <c r="K71" s="114"/>
      <c r="L71" s="114"/>
      <c r="M71" s="114"/>
      <c r="N71" s="11"/>
      <c r="O71" s="10" t="s">
        <v>78</v>
      </c>
      <c r="P71" s="10"/>
      <c r="Q71" s="117">
        <v>30</v>
      </c>
      <c r="R71" s="117">
        <v>1</v>
      </c>
      <c r="S71" s="117"/>
      <c r="T71" s="119"/>
      <c r="U71" s="117"/>
      <c r="V71" s="117"/>
      <c r="W71" s="1"/>
      <c r="X71" s="72"/>
      <c r="Y71" s="50">
        <v>177</v>
      </c>
      <c r="Z71" s="116">
        <v>1</v>
      </c>
      <c r="AA71" s="116">
        <v>1</v>
      </c>
    </row>
    <row r="72" spans="1:32" s="9" customFormat="1">
      <c r="B72" s="10" t="s">
        <v>18</v>
      </c>
      <c r="C72" s="2" t="str">
        <f>VLOOKUP(Table2[[#This Row],[Course Title]],Data!$A$1:$E$56,2,FALSE)</f>
        <v>A-493-0550</v>
      </c>
      <c r="D72" s="3" t="str">
        <f>VLOOKUP(Table2[[#This Row],[Course Title]],Data!$A$1:$E$56,3,FALSE)</f>
        <v>09K5</v>
      </c>
      <c r="E72" s="10" t="s">
        <v>258</v>
      </c>
      <c r="F72" s="186">
        <v>45420</v>
      </c>
      <c r="G72" s="11">
        <v>45422</v>
      </c>
      <c r="H72" s="112">
        <v>0.33333333333333331</v>
      </c>
      <c r="I72" s="112"/>
      <c r="J72" s="112"/>
      <c r="K72" s="112"/>
      <c r="L72" s="112"/>
      <c r="M72" s="112"/>
      <c r="N72" s="11"/>
      <c r="O72" s="9" t="s">
        <v>78</v>
      </c>
      <c r="Q72" s="15" t="e">
        <v>#REF!</v>
      </c>
      <c r="R72" s="15" t="e">
        <v>#REF!</v>
      </c>
      <c r="S72" s="171"/>
      <c r="V72" s="117">
        <f>VLOOKUP(Table2[[#This Row],[Course Title]],Data!$A$1:$E$56,4,FALSE)</f>
        <v>45</v>
      </c>
      <c r="W72" s="117">
        <f>VLOOKUP(Table2[[#This Row],[Course Title]],Data!$A$1:$E$56,5,FALSE)</f>
        <v>4</v>
      </c>
      <c r="X72" s="117"/>
      <c r="Y72" s="119"/>
      <c r="Z72" s="117"/>
      <c r="AA72" s="117"/>
      <c r="AB72" s="117"/>
      <c r="AC72" s="72"/>
      <c r="AD72" s="50">
        <f ca="1">Table2[[#This Row],[End Date]]+2-TODAY()</f>
        <v>-94</v>
      </c>
      <c r="AE72" s="116">
        <f>IF(ISBLANK(#REF!),1,0)</f>
        <v>0</v>
      </c>
      <c r="AF72" s="116">
        <f ca="1">IF(Table2[[#This Row],[Start Date]]&gt;TODAY(),1,)</f>
        <v>0</v>
      </c>
    </row>
    <row r="73" spans="1:32" s="14" customFormat="1" ht="14.25" customHeight="1">
      <c r="A73" s="9"/>
      <c r="B73" s="10" t="s">
        <v>23</v>
      </c>
      <c r="C73" s="2" t="s">
        <v>252</v>
      </c>
      <c r="D73" s="3" t="s">
        <v>253</v>
      </c>
      <c r="E73" s="3" t="s">
        <v>157</v>
      </c>
      <c r="F73" s="186">
        <v>45420</v>
      </c>
      <c r="G73" s="11">
        <v>45422</v>
      </c>
      <c r="H73" s="111">
        <v>0.33333333333333331</v>
      </c>
      <c r="I73" s="111"/>
      <c r="J73" s="11"/>
      <c r="K73" s="11"/>
      <c r="L73" s="11"/>
      <c r="M73" s="11"/>
      <c r="N73" s="11"/>
      <c r="O73" s="10" t="s">
        <v>78</v>
      </c>
      <c r="P73" s="10"/>
      <c r="Q73" s="16" t="e">
        <v>#REF!</v>
      </c>
      <c r="R73" s="15" t="e">
        <v>#REF!</v>
      </c>
      <c r="S73" s="16"/>
      <c r="T73" s="9"/>
      <c r="U73" s="9"/>
      <c r="V73" s="117">
        <f>VLOOKUP(Table2[[#This Row],[Course Title]],Data!$A$1:$E$56,4,FALSE)</f>
        <v>45</v>
      </c>
      <c r="W73" s="117">
        <f>VLOOKUP(Table2[[#This Row],[Course Title]],Data!$A$1:$E$56,5,FALSE)</f>
        <v>5</v>
      </c>
      <c r="X73" s="117"/>
      <c r="Y73" s="119"/>
      <c r="Z73" s="117"/>
      <c r="AA73" s="117"/>
      <c r="AB73" s="117"/>
      <c r="AC73" s="72"/>
      <c r="AD73" s="50">
        <f ca="1">Table2[[#This Row],[End Date]]+2-TODAY()</f>
        <v>-94</v>
      </c>
      <c r="AE73" s="116">
        <f>IF(ISBLANK(#REF!),1,0)</f>
        <v>0</v>
      </c>
      <c r="AF73" s="116">
        <f ca="1">IF(Table2[[#This Row],[Start Date]]&gt;TODAY(),1,)</f>
        <v>0</v>
      </c>
    </row>
    <row r="74" spans="1:32" s="73" customFormat="1" ht="14.25" customHeight="1">
      <c r="A74" s="9"/>
      <c r="B74" s="10" t="s">
        <v>24</v>
      </c>
      <c r="C74" s="2" t="s">
        <v>254</v>
      </c>
      <c r="D74" s="3" t="s">
        <v>255</v>
      </c>
      <c r="E74" s="113" t="s">
        <v>115</v>
      </c>
      <c r="F74" s="188">
        <v>45421</v>
      </c>
      <c r="G74" s="108">
        <v>45421</v>
      </c>
      <c r="H74" s="111">
        <v>0.33333333333333331</v>
      </c>
      <c r="I74" s="111"/>
      <c r="J74" s="11"/>
      <c r="K74" s="11"/>
      <c r="L74" s="11"/>
      <c r="M74" s="11"/>
      <c r="N74" s="11"/>
      <c r="O74" s="10" t="s">
        <v>78</v>
      </c>
      <c r="P74" s="10"/>
      <c r="Q74" s="117">
        <v>30</v>
      </c>
      <c r="R74" s="117">
        <v>1</v>
      </c>
      <c r="S74" s="117"/>
      <c r="T74" s="119"/>
      <c r="U74" s="117"/>
      <c r="V74" s="117"/>
      <c r="W74" s="117"/>
      <c r="X74" s="72"/>
      <c r="Y74" s="50">
        <v>179</v>
      </c>
      <c r="Z74" s="116">
        <v>1</v>
      </c>
      <c r="AA74" s="116">
        <v>1</v>
      </c>
      <c r="AB74" s="13"/>
      <c r="AC74" s="13"/>
      <c r="AD74" s="13"/>
      <c r="AE74" s="13"/>
      <c r="AF74" s="13"/>
    </row>
    <row r="75" spans="1:32" s="13" customFormat="1">
      <c r="A75" s="9"/>
      <c r="B75" s="10" t="s">
        <v>24</v>
      </c>
      <c r="C75" s="2" t="s">
        <v>254</v>
      </c>
      <c r="D75" s="3" t="s">
        <v>255</v>
      </c>
      <c r="E75" s="113" t="s">
        <v>279</v>
      </c>
      <c r="F75" s="188">
        <v>45421</v>
      </c>
      <c r="G75" s="108">
        <v>45421</v>
      </c>
      <c r="H75" s="111">
        <v>0.33333333333333331</v>
      </c>
      <c r="I75" s="111"/>
      <c r="J75" s="11"/>
      <c r="K75" s="11"/>
      <c r="L75" s="11"/>
      <c r="M75" s="11"/>
      <c r="N75" s="11"/>
      <c r="O75" s="10" t="s">
        <v>78</v>
      </c>
      <c r="P75" s="10"/>
      <c r="Q75" s="117">
        <v>30</v>
      </c>
      <c r="R75" s="117">
        <v>1</v>
      </c>
      <c r="S75" s="117"/>
      <c r="T75" s="119"/>
      <c r="U75" s="117"/>
      <c r="V75" s="117"/>
      <c r="W75" s="117"/>
      <c r="X75" s="72"/>
      <c r="Y75" s="50">
        <v>179</v>
      </c>
      <c r="Z75" s="116">
        <v>1</v>
      </c>
      <c r="AA75" s="116">
        <v>1</v>
      </c>
    </row>
    <row r="76" spans="1:32">
      <c r="A76" s="9"/>
      <c r="B76" s="10" t="s">
        <v>24</v>
      </c>
      <c r="C76" s="2" t="s">
        <v>254</v>
      </c>
      <c r="D76" s="3" t="s">
        <v>255</v>
      </c>
      <c r="E76" s="113" t="s">
        <v>115</v>
      </c>
      <c r="F76" s="188">
        <v>45422</v>
      </c>
      <c r="G76" s="108">
        <v>45422</v>
      </c>
      <c r="H76" s="111">
        <v>0.33333333333333331</v>
      </c>
      <c r="I76" s="111"/>
      <c r="J76" s="11"/>
      <c r="K76" s="11"/>
      <c r="L76" s="11"/>
      <c r="M76" s="11"/>
      <c r="N76" s="11"/>
      <c r="O76" s="10" t="s">
        <v>78</v>
      </c>
      <c r="P76" s="10"/>
      <c r="Q76" s="117">
        <v>30</v>
      </c>
      <c r="R76" s="117">
        <v>1</v>
      </c>
      <c r="S76" s="117"/>
      <c r="T76" s="119"/>
      <c r="U76" s="117"/>
      <c r="V76" s="117"/>
      <c r="W76" s="117"/>
      <c r="X76" s="72"/>
      <c r="Y76" s="50">
        <v>180</v>
      </c>
      <c r="Z76" s="116">
        <v>1</v>
      </c>
      <c r="AA76" s="116">
        <v>1</v>
      </c>
      <c r="AB76" s="13"/>
      <c r="AC76" s="13"/>
      <c r="AD76" s="13"/>
      <c r="AE76" s="13"/>
      <c r="AF76" s="13"/>
    </row>
    <row r="77" spans="1:32" s="9" customFormat="1">
      <c r="B77" s="10" t="s">
        <v>23</v>
      </c>
      <c r="C77" s="2" t="s">
        <v>252</v>
      </c>
      <c r="D77" s="3" t="s">
        <v>253</v>
      </c>
      <c r="E77" s="10" t="s">
        <v>164</v>
      </c>
      <c r="F77" s="188">
        <v>45425</v>
      </c>
      <c r="G77" s="108">
        <v>45427</v>
      </c>
      <c r="H77" s="111">
        <v>0.33333333333333331</v>
      </c>
      <c r="I77" s="111"/>
      <c r="J77" s="11"/>
      <c r="K77" s="11"/>
      <c r="L77" s="11"/>
      <c r="M77" s="11"/>
      <c r="N77" s="11"/>
      <c r="O77" s="10" t="s">
        <v>78</v>
      </c>
      <c r="P77" s="10"/>
      <c r="Q77" s="16" t="e">
        <v>#REF!</v>
      </c>
      <c r="R77" s="15" t="e">
        <v>#REF!</v>
      </c>
      <c r="S77" s="16"/>
      <c r="V77" s="117">
        <f>VLOOKUP(Table2[[#This Row],[Course Title]],Data!$A$1:$E$56,4,FALSE)</f>
        <v>45</v>
      </c>
      <c r="W77" s="117">
        <f>VLOOKUP(Table2[[#This Row],[Course Title]],Data!$A$1:$E$56,5,FALSE)</f>
        <v>3</v>
      </c>
      <c r="X77" s="117"/>
      <c r="Y77" s="119"/>
      <c r="Z77" s="117"/>
      <c r="AA77" s="117"/>
      <c r="AB77" s="117"/>
      <c r="AC77" s="72"/>
      <c r="AD77" s="50">
        <f ca="1">Table2[[#This Row],[End Date]]+2-TODAY()</f>
        <v>-95</v>
      </c>
      <c r="AE77" s="116">
        <f>IF(ISBLANK(#REF!),1,0)</f>
        <v>0</v>
      </c>
      <c r="AF77" s="116">
        <f ca="1">IF(Table2[[#This Row],[Start Date]]&gt;TODAY(),1,)</f>
        <v>0</v>
      </c>
    </row>
    <row r="78" spans="1:32">
      <c r="A78" s="9"/>
      <c r="B78" s="10" t="s">
        <v>18</v>
      </c>
      <c r="C78" s="2" t="s">
        <v>233</v>
      </c>
      <c r="D78" s="3">
        <v>3683</v>
      </c>
      <c r="E78" s="10" t="s">
        <v>102</v>
      </c>
      <c r="F78" s="186">
        <v>45432</v>
      </c>
      <c r="G78" s="11">
        <v>45434</v>
      </c>
      <c r="H78" s="112">
        <v>0.33333333333333331</v>
      </c>
      <c r="I78" s="112"/>
      <c r="J78" s="112"/>
      <c r="K78" s="112"/>
      <c r="L78" s="112"/>
      <c r="M78" s="112"/>
      <c r="N78" s="11"/>
      <c r="O78" s="9" t="s">
        <v>78</v>
      </c>
      <c r="P78" s="9"/>
      <c r="Q78" s="117">
        <v>40</v>
      </c>
      <c r="R78" s="117">
        <v>5</v>
      </c>
      <c r="S78" s="117"/>
      <c r="T78" s="119"/>
      <c r="U78" s="117"/>
      <c r="V78" s="117"/>
      <c r="W78" s="1"/>
      <c r="X78" s="72"/>
      <c r="Y78" s="50">
        <v>192</v>
      </c>
      <c r="Z78" s="116">
        <v>1</v>
      </c>
      <c r="AA78" s="116">
        <v>1</v>
      </c>
      <c r="AB78" s="13"/>
      <c r="AC78" s="13"/>
      <c r="AD78" s="13"/>
      <c r="AE78" s="13"/>
      <c r="AF78" s="13"/>
    </row>
    <row r="79" spans="1:32">
      <c r="A79" s="9"/>
      <c r="B79" s="10" t="s">
        <v>18</v>
      </c>
      <c r="C79" s="2" t="str">
        <f>VLOOKUP(Table2[[#This Row],[Course Title]],Data!$A$1:$E$56,2,FALSE)</f>
        <v>A-493-2301</v>
      </c>
      <c r="D79" s="3" t="str">
        <f>VLOOKUP(Table2[[#This Row],[Course Title]],Data!$A$1:$E$56,3,FALSE)</f>
        <v>05ZD</v>
      </c>
      <c r="E79" s="113" t="s">
        <v>352</v>
      </c>
      <c r="F79" s="186">
        <v>45432</v>
      </c>
      <c r="G79" s="11">
        <v>45434</v>
      </c>
      <c r="H79" s="112">
        <v>0.33333333333333331</v>
      </c>
      <c r="I79" s="112"/>
      <c r="J79" s="11"/>
      <c r="K79" s="11"/>
      <c r="L79" s="11"/>
      <c r="M79" s="11"/>
      <c r="N79" s="11"/>
      <c r="O79" s="10" t="s">
        <v>78</v>
      </c>
      <c r="P79" s="10"/>
      <c r="Q79" s="16" t="e">
        <v>#REF!</v>
      </c>
      <c r="R79" s="15" t="e">
        <v>#REF!</v>
      </c>
      <c r="S79" s="16"/>
      <c r="T79" s="9"/>
      <c r="U79" s="9"/>
      <c r="V79" s="117">
        <f>VLOOKUP(Table2[[#This Row],[Course Title]],Data!$A$1:$E$56,4,FALSE)</f>
        <v>30</v>
      </c>
      <c r="W79" s="117">
        <f>VLOOKUP(Table2[[#This Row],[Course Title]],Data!$A$1:$E$56,5,FALSE)</f>
        <v>1</v>
      </c>
      <c r="X79" s="117"/>
      <c r="Y79" s="119"/>
      <c r="Z79" s="117"/>
      <c r="AA79" s="117"/>
      <c r="AB79" s="117"/>
      <c r="AC79" s="72"/>
      <c r="AD79" s="50">
        <f ca="1">Table2[[#This Row],[End Date]]+2-TODAY()</f>
        <v>-95</v>
      </c>
      <c r="AE79" s="116">
        <f>IF(ISBLANK(#REF!),1,0)</f>
        <v>0</v>
      </c>
      <c r="AF79" s="116">
        <f ca="1">IF(Table2[[#This Row],[Start Date]]&gt;TODAY(),1,)</f>
        <v>0</v>
      </c>
    </row>
    <row r="80" spans="1:32">
      <c r="A80" s="9"/>
      <c r="B80" s="10" t="s">
        <v>18</v>
      </c>
      <c r="C80" s="2" t="str">
        <f>VLOOKUP(Table2[[#This Row],[Course Title]],Data!$A$1:$E$56,2,FALSE)</f>
        <v>A-493-2501</v>
      </c>
      <c r="D80" s="3" t="str">
        <f>VLOOKUP(Table2[[#This Row],[Course Title]],Data!$A$1:$E$56,3,FALSE)</f>
        <v>05ZE</v>
      </c>
      <c r="E80" s="10" t="s">
        <v>108</v>
      </c>
      <c r="F80" s="186">
        <v>45433</v>
      </c>
      <c r="G80" s="11">
        <v>45435</v>
      </c>
      <c r="H80" s="112">
        <v>0.33333333333333331</v>
      </c>
      <c r="I80" s="112"/>
      <c r="J80" s="112"/>
      <c r="K80" s="112"/>
      <c r="L80" s="112"/>
      <c r="M80" s="112"/>
      <c r="N80" s="11"/>
      <c r="O80" s="9" t="s">
        <v>78</v>
      </c>
      <c r="P80" s="9"/>
      <c r="Q80" s="15" t="e">
        <v>#REF!</v>
      </c>
      <c r="R80" s="15" t="e">
        <v>#REF!</v>
      </c>
      <c r="S80" s="171"/>
      <c r="T80" s="9"/>
      <c r="U80" s="9"/>
      <c r="V80" s="117">
        <f>VLOOKUP(Table2[[#This Row],[Course Title]],Data!$A$1:$E$56,4,FALSE)</f>
        <v>30</v>
      </c>
      <c r="W80" s="117">
        <f>VLOOKUP(Table2[[#This Row],[Course Title]],Data!$A$1:$E$56,5,FALSE)</f>
        <v>1</v>
      </c>
      <c r="X80" s="117"/>
      <c r="Y80" s="119"/>
      <c r="Z80" s="117"/>
      <c r="AA80" s="117"/>
      <c r="AB80" s="117"/>
      <c r="AC80" s="72"/>
      <c r="AD80" s="50">
        <f ca="1">Table2[[#This Row],[End Date]]+2-TODAY()</f>
        <v>-94</v>
      </c>
      <c r="AE80" s="116">
        <f>IF(ISBLANK(#REF!),1,0)</f>
        <v>0</v>
      </c>
      <c r="AF80" s="116">
        <f ca="1">IF(Table2[[#This Row],[Start Date]]&gt;TODAY(),1,)</f>
        <v>0</v>
      </c>
    </row>
    <row r="81" spans="1:32">
      <c r="A81" s="9"/>
      <c r="B81" s="10" t="s">
        <v>18</v>
      </c>
      <c r="C81" s="2" t="str">
        <f>VLOOKUP(Table2[[#This Row],[Course Title]],Data!$A$1:$E$56,2,FALSE)</f>
        <v>A-493-0012</v>
      </c>
      <c r="D81" s="3">
        <f>VLOOKUP(Table2[[#This Row],[Course Title]],Data!$A$1:$E$56,3,FALSE)</f>
        <v>3682</v>
      </c>
      <c r="E81" s="10" t="s">
        <v>121</v>
      </c>
      <c r="F81" s="186">
        <v>45440</v>
      </c>
      <c r="G81" s="11">
        <v>45442</v>
      </c>
      <c r="H81" s="112">
        <v>0.33333333333333331</v>
      </c>
      <c r="I81" s="112"/>
      <c r="J81" s="112"/>
      <c r="K81" s="112"/>
      <c r="L81" s="112"/>
      <c r="M81" s="112"/>
      <c r="N81" s="11"/>
      <c r="O81" s="9" t="s">
        <v>78</v>
      </c>
      <c r="P81" s="9"/>
      <c r="Q81" s="15" t="e">
        <v>#REF!</v>
      </c>
      <c r="R81" s="15" t="e">
        <v>#REF!</v>
      </c>
      <c r="S81" s="171"/>
      <c r="T81" s="9"/>
      <c r="U81" s="9"/>
      <c r="V81" s="117">
        <f>VLOOKUP(Table2[[#This Row],[Course Title]],Data!$A$1:$E$56,4,FALSE)</f>
        <v>40</v>
      </c>
      <c r="W81" s="117">
        <f>VLOOKUP(Table2[[#This Row],[Course Title]],Data!$A$1:$E$56,5,FALSE)</f>
        <v>5</v>
      </c>
      <c r="X81" s="117"/>
      <c r="Y81" s="119"/>
      <c r="Z81" s="117"/>
      <c r="AA81" s="117"/>
      <c r="AB81" s="117"/>
      <c r="AC81" s="72"/>
      <c r="AD81" s="50">
        <f ca="1">Table2[[#This Row],[End Date]]+2-TODAY()</f>
        <v>-87</v>
      </c>
      <c r="AE81" s="116">
        <f>IF(ISBLANK(#REF!),1,0)</f>
        <v>0</v>
      </c>
      <c r="AF81" s="116">
        <f ca="1">IF(Table2[[#This Row],[Start Date]]&gt;TODAY(),1,)</f>
        <v>0</v>
      </c>
    </row>
    <row r="82" spans="1:32">
      <c r="A82" s="9"/>
      <c r="B82" s="10" t="s">
        <v>17</v>
      </c>
      <c r="C82" s="2" t="str">
        <f>VLOOKUP(Table2[[#This Row],[Course Title]],Data!$A$1:$E$56,2,FALSE)</f>
        <v>Holiday</v>
      </c>
      <c r="D82" s="3" t="str">
        <f>VLOOKUP(Table2[[#This Row],[Course Title]],Data!$A$1:$E$56,3,FALSE)</f>
        <v>Holiday</v>
      </c>
      <c r="E82" s="10" t="s">
        <v>437</v>
      </c>
      <c r="F82" s="186">
        <v>45446</v>
      </c>
      <c r="G82" s="11">
        <v>45450</v>
      </c>
      <c r="H82" s="112">
        <v>0.33333333333333331</v>
      </c>
      <c r="I82" s="112"/>
      <c r="J82" s="112"/>
      <c r="K82" s="112"/>
      <c r="L82" s="112"/>
      <c r="M82" s="112"/>
      <c r="N82" s="11"/>
      <c r="O82" s="9" t="s">
        <v>78</v>
      </c>
      <c r="P82" s="9"/>
      <c r="Q82" s="15" t="e">
        <v>#REF!</v>
      </c>
      <c r="R82" s="15" t="e">
        <v>#REF!</v>
      </c>
      <c r="S82" s="171"/>
      <c r="T82" s="9"/>
      <c r="U82" s="9"/>
      <c r="V82" s="117">
        <f>VLOOKUP(Table2[[#This Row],[Course Title]],Data!$A$1:$E$56,4,FALSE)</f>
        <v>0</v>
      </c>
      <c r="W82" s="117">
        <f>VLOOKUP(Table2[[#This Row],[Course Title]],Data!$A$1:$E$56,5,FALSE)</f>
        <v>0</v>
      </c>
      <c r="X82" s="117"/>
      <c r="Y82" s="119"/>
      <c r="Z82" s="117"/>
      <c r="AA82" s="117"/>
      <c r="AB82" s="117"/>
      <c r="AC82" s="72"/>
      <c r="AD82" s="50">
        <f ca="1">Table2[[#This Row],[End Date]]+2-TODAY()</f>
        <v>-91</v>
      </c>
      <c r="AE82" s="116">
        <f>IF(ISBLANK(#REF!),1,0)</f>
        <v>0</v>
      </c>
      <c r="AF82" s="116">
        <f ca="1">IF(Table2[[#This Row],[Start Date]]&gt;TODAY(),1,)</f>
        <v>0</v>
      </c>
    </row>
    <row r="83" spans="1:32">
      <c r="A83" s="9"/>
      <c r="B83" s="110" t="s">
        <v>23</v>
      </c>
      <c r="C83" s="2" t="s">
        <v>252</v>
      </c>
      <c r="D83" s="3" t="s">
        <v>253</v>
      </c>
      <c r="E83" s="10" t="s">
        <v>133</v>
      </c>
      <c r="F83" s="186">
        <v>45446</v>
      </c>
      <c r="G83" s="11">
        <v>45448</v>
      </c>
      <c r="H83" s="111">
        <v>0.33333333333333331</v>
      </c>
      <c r="I83" s="111"/>
      <c r="J83" s="11"/>
      <c r="K83" s="11"/>
      <c r="L83" s="11"/>
      <c r="M83" s="11"/>
      <c r="N83" s="11"/>
      <c r="O83" s="10" t="s">
        <v>78</v>
      </c>
      <c r="P83" s="10"/>
      <c r="Q83" s="16" t="e">
        <v>#REF!</v>
      </c>
      <c r="R83" s="15" t="e">
        <v>#REF!</v>
      </c>
      <c r="S83" s="16"/>
      <c r="T83" s="9"/>
      <c r="U83" s="9"/>
      <c r="V83" s="117">
        <f>VLOOKUP(Table2[[#This Row],[Course Title]],Data!$A$1:$E$56,4,FALSE)</f>
        <v>45</v>
      </c>
      <c r="W83" s="117">
        <f>VLOOKUP(Table2[[#This Row],[Course Title]],Data!$A$1:$E$56,5,FALSE)</f>
        <v>5</v>
      </c>
      <c r="X83" s="117"/>
      <c r="Y83" s="119"/>
      <c r="Z83" s="117"/>
      <c r="AA83" s="117"/>
      <c r="AB83" s="117"/>
      <c r="AC83" s="72"/>
      <c r="AD83" s="50">
        <f ca="1">Table2[[#This Row],[End Date]]+2-TODAY()</f>
        <v>-87</v>
      </c>
      <c r="AE83" s="116">
        <f>IF(ISBLANK(#REF!),1,0)</f>
        <v>0</v>
      </c>
      <c r="AF83" s="116">
        <f ca="1">IF(Table2[[#This Row],[Start Date]]&gt;TODAY(),1,)</f>
        <v>0</v>
      </c>
    </row>
    <row r="84" spans="1:32">
      <c r="A84" s="9"/>
      <c r="B84" s="10" t="s">
        <v>25</v>
      </c>
      <c r="C84" s="2" t="s">
        <v>256</v>
      </c>
      <c r="D84" s="3" t="s">
        <v>257</v>
      </c>
      <c r="E84" s="113" t="s">
        <v>110</v>
      </c>
      <c r="F84" s="186">
        <v>45446</v>
      </c>
      <c r="G84" s="11">
        <v>45447</v>
      </c>
      <c r="H84" s="112">
        <v>0.33333333333333331</v>
      </c>
      <c r="I84" s="112"/>
      <c r="J84" s="11"/>
      <c r="K84" s="11"/>
      <c r="L84" s="11"/>
      <c r="M84" s="11"/>
      <c r="N84" s="11"/>
      <c r="O84" s="10" t="s">
        <v>78</v>
      </c>
      <c r="P84" s="10"/>
      <c r="Q84" s="16" t="e">
        <v>#REF!</v>
      </c>
      <c r="R84" s="15" t="e">
        <v>#REF!</v>
      </c>
      <c r="S84" s="16"/>
      <c r="T84" s="9"/>
      <c r="U84" s="9"/>
      <c r="V84" s="117">
        <f>VLOOKUP(Table2[[#This Row],[Course Title]],Data!$A$1:$E$56,4,FALSE)</f>
        <v>30</v>
      </c>
      <c r="W84" s="117">
        <f>VLOOKUP(Table2[[#This Row],[Course Title]],Data!$A$1:$E$56,5,FALSE)</f>
        <v>4</v>
      </c>
      <c r="X84" s="117"/>
      <c r="Y84" s="119"/>
      <c r="Z84" s="117"/>
      <c r="AA84" s="117"/>
      <c r="AB84" s="117"/>
      <c r="AC84" s="72"/>
      <c r="AD84" s="50">
        <f ca="1">Table2[[#This Row],[End Date]]+2-TODAY()</f>
        <v>-87</v>
      </c>
      <c r="AE84" s="116">
        <f>IF(ISBLANK(#REF!),1,0)</f>
        <v>0</v>
      </c>
      <c r="AF84" s="116">
        <f ca="1">IF(Table2[[#This Row],[Start Date]]&gt;TODAY(),1,)</f>
        <v>0</v>
      </c>
    </row>
    <row r="85" spans="1:32">
      <c r="A85" s="9"/>
      <c r="B85" s="10" t="s">
        <v>18</v>
      </c>
      <c r="C85" s="2" t="str">
        <f>VLOOKUP(Table2[[#This Row],[Course Title]],Data!$A$1:$E$56,2,FALSE)</f>
        <v>A-493-0085</v>
      </c>
      <c r="D85" s="3">
        <v>3683</v>
      </c>
      <c r="E85" s="113" t="s">
        <v>131</v>
      </c>
      <c r="F85" s="186">
        <v>45453</v>
      </c>
      <c r="G85" s="11">
        <v>45455</v>
      </c>
      <c r="H85" s="112">
        <v>0.33333333333333331</v>
      </c>
      <c r="I85" s="112"/>
      <c r="J85" s="11"/>
      <c r="K85" s="11"/>
      <c r="L85" s="11"/>
      <c r="M85" s="11"/>
      <c r="N85" s="11"/>
      <c r="O85" s="10" t="s">
        <v>78</v>
      </c>
      <c r="P85" s="10"/>
      <c r="Q85" s="16" t="e">
        <v>#REF!</v>
      </c>
      <c r="R85" s="15" t="e">
        <v>#REF!</v>
      </c>
      <c r="S85" s="16"/>
      <c r="T85" s="9"/>
      <c r="U85" s="9"/>
      <c r="V85" s="117">
        <f>VLOOKUP(Table2[[#This Row],[Course Title]],Data!$A$1:$E$56,4,FALSE)</f>
        <v>30</v>
      </c>
      <c r="W85" s="117">
        <f>VLOOKUP(Table2[[#This Row],[Course Title]],Data!$A$1:$E$56,5,FALSE)</f>
        <v>4</v>
      </c>
      <c r="X85" s="117"/>
      <c r="Y85" s="119"/>
      <c r="Z85" s="117"/>
      <c r="AA85" s="117"/>
      <c r="AB85" s="117"/>
      <c r="AC85" s="72"/>
      <c r="AD85" s="50">
        <f ca="1">Table2[[#This Row],[End Date]]+2-TODAY()</f>
        <v>-87</v>
      </c>
      <c r="AE85" s="116">
        <f>IF(ISBLANK(#REF!),1,0)</f>
        <v>0</v>
      </c>
      <c r="AF85" s="116">
        <f ca="1">IF(Table2[[#This Row],[Start Date]]&gt;TODAY(),1,)</f>
        <v>0</v>
      </c>
    </row>
    <row r="86" spans="1:32">
      <c r="B86" t="s">
        <v>26</v>
      </c>
      <c r="C86" t="s">
        <v>259</v>
      </c>
      <c r="D86" s="184" t="s">
        <v>260</v>
      </c>
      <c r="E86" t="s">
        <v>283</v>
      </c>
      <c r="F86" s="186">
        <v>45455</v>
      </c>
      <c r="G86" s="11">
        <v>45455</v>
      </c>
      <c r="O86" t="s">
        <v>78</v>
      </c>
      <c r="Q86">
        <v>30</v>
      </c>
      <c r="R86">
        <v>1</v>
      </c>
      <c r="Y86">
        <v>213</v>
      </c>
      <c r="Z86">
        <v>1</v>
      </c>
      <c r="AA86">
        <v>1</v>
      </c>
    </row>
    <row r="87" spans="1:32">
      <c r="A87" s="9"/>
      <c r="B87" s="10" t="s">
        <v>26</v>
      </c>
      <c r="C87" s="2" t="s">
        <v>259</v>
      </c>
      <c r="D87" s="3" t="s">
        <v>260</v>
      </c>
      <c r="E87" s="10" t="s">
        <v>135</v>
      </c>
      <c r="F87" s="186">
        <v>45460</v>
      </c>
      <c r="G87" s="11">
        <v>45460</v>
      </c>
      <c r="H87" s="112">
        <v>0.33333333333333331</v>
      </c>
      <c r="I87" s="112"/>
      <c r="J87" s="11"/>
      <c r="K87" s="11"/>
      <c r="L87" s="11"/>
      <c r="M87" s="11"/>
      <c r="N87" s="11"/>
      <c r="O87" s="10" t="s">
        <v>78</v>
      </c>
      <c r="P87" s="10"/>
      <c r="Q87" s="117">
        <v>30</v>
      </c>
      <c r="R87" s="117">
        <v>1</v>
      </c>
      <c r="S87" s="117"/>
      <c r="T87" s="119"/>
      <c r="U87" s="117"/>
      <c r="V87" s="117"/>
      <c r="W87" s="117"/>
      <c r="X87" s="10"/>
      <c r="Y87" s="50">
        <v>218</v>
      </c>
      <c r="Z87" s="116">
        <v>1</v>
      </c>
      <c r="AA87" s="116">
        <v>1</v>
      </c>
      <c r="AB87" s="13"/>
      <c r="AC87" s="13"/>
      <c r="AD87" s="13"/>
      <c r="AE87" s="13"/>
      <c r="AF87" s="13"/>
    </row>
    <row r="88" spans="1:32">
      <c r="A88" s="9"/>
      <c r="B88" s="10" t="s">
        <v>24</v>
      </c>
      <c r="C88" s="2" t="s">
        <v>254</v>
      </c>
      <c r="D88" s="3" t="s">
        <v>255</v>
      </c>
      <c r="E88" s="10" t="s">
        <v>116</v>
      </c>
      <c r="F88" s="188">
        <v>45460</v>
      </c>
      <c r="G88" s="108">
        <v>45460</v>
      </c>
      <c r="H88" s="108"/>
      <c r="I88" s="111">
        <v>0.79166666666666663</v>
      </c>
      <c r="J88" s="111">
        <v>0.66666666666666663</v>
      </c>
      <c r="K88" s="111">
        <v>8.3333333333333329E-2</v>
      </c>
      <c r="L88" s="111">
        <v>0</v>
      </c>
      <c r="M88" s="111">
        <v>0.54166666666666663</v>
      </c>
      <c r="N88" s="111">
        <v>0.33333333333333331</v>
      </c>
      <c r="O88" s="10" t="s">
        <v>78</v>
      </c>
      <c r="P88" s="10"/>
      <c r="Q88" s="117">
        <v>30</v>
      </c>
      <c r="R88" s="117">
        <v>1</v>
      </c>
      <c r="S88" s="117"/>
      <c r="T88" s="119"/>
      <c r="U88" s="117"/>
      <c r="V88" s="117"/>
      <c r="W88" s="117"/>
      <c r="X88" s="10"/>
      <c r="Y88" s="50">
        <v>218</v>
      </c>
      <c r="Z88" s="116">
        <v>1</v>
      </c>
      <c r="AA88" s="116">
        <v>1</v>
      </c>
      <c r="AB88" s="13"/>
      <c r="AC88" s="13"/>
      <c r="AD88" s="13"/>
      <c r="AE88" s="13"/>
      <c r="AF88" s="13"/>
    </row>
    <row r="89" spans="1:32">
      <c r="A89" s="9"/>
      <c r="B89" s="10" t="s">
        <v>23</v>
      </c>
      <c r="C89" s="2" t="s">
        <v>252</v>
      </c>
      <c r="D89" s="3" t="s">
        <v>253</v>
      </c>
      <c r="E89" s="113" t="s">
        <v>108</v>
      </c>
      <c r="F89" s="188">
        <v>45467</v>
      </c>
      <c r="G89" s="108">
        <v>45469</v>
      </c>
      <c r="H89" s="111">
        <v>0.33333333333333331</v>
      </c>
      <c r="I89" s="111"/>
      <c r="J89" s="11"/>
      <c r="K89" s="11"/>
      <c r="L89" s="11"/>
      <c r="M89" s="11"/>
      <c r="N89" s="11"/>
      <c r="O89" s="10" t="s">
        <v>78</v>
      </c>
      <c r="P89" s="10"/>
      <c r="Q89" s="16" t="e">
        <v>#REF!</v>
      </c>
      <c r="R89" s="15" t="e">
        <v>#REF!</v>
      </c>
      <c r="S89" s="16"/>
      <c r="T89" s="9"/>
      <c r="U89" s="9"/>
      <c r="V89" s="117">
        <f>VLOOKUP(Table2[[#This Row],[Course Title]],Data!$A$1:$E$56,4,FALSE)</f>
        <v>25</v>
      </c>
      <c r="W89" s="117">
        <f>VLOOKUP(Table2[[#This Row],[Course Title]],Data!$A$1:$E$56,5,FALSE)</f>
        <v>5</v>
      </c>
      <c r="X89" s="117"/>
      <c r="Y89" s="119"/>
      <c r="Z89" s="117"/>
      <c r="AA89" s="117"/>
      <c r="AB89" s="117"/>
      <c r="AC89" s="10"/>
      <c r="AD89" s="50">
        <f ca="1">Table2[[#This Row],[End Date]]+2-TODAY()</f>
        <v>-80</v>
      </c>
      <c r="AE89" s="116">
        <f>IF(ISBLANK(#REF!),1,0)</f>
        <v>0</v>
      </c>
      <c r="AF89" s="116">
        <f ca="1">IF(Table2[[#This Row],[Start Date]]&gt;TODAY(),1,)</f>
        <v>0</v>
      </c>
    </row>
    <row r="90" spans="1:32">
      <c r="A90" s="9"/>
      <c r="B90" s="10" t="s">
        <v>24</v>
      </c>
      <c r="C90" s="2" t="s">
        <v>254</v>
      </c>
      <c r="D90" s="3" t="s">
        <v>255</v>
      </c>
      <c r="E90" s="113" t="s">
        <v>108</v>
      </c>
      <c r="F90" s="188">
        <v>45470</v>
      </c>
      <c r="G90" s="108">
        <v>45470</v>
      </c>
      <c r="H90" s="111">
        <v>0.33333333333333331</v>
      </c>
      <c r="I90" s="111"/>
      <c r="J90" s="11"/>
      <c r="K90" s="11"/>
      <c r="L90" s="11"/>
      <c r="M90" s="11"/>
      <c r="N90" s="11"/>
      <c r="O90" s="10" t="s">
        <v>78</v>
      </c>
      <c r="P90" s="10"/>
      <c r="Q90" s="117">
        <v>30</v>
      </c>
      <c r="R90" s="117">
        <v>1</v>
      </c>
      <c r="S90" s="117"/>
      <c r="T90" s="119"/>
      <c r="U90" s="117"/>
      <c r="V90" s="117"/>
      <c r="W90" s="117"/>
      <c r="X90" s="10"/>
      <c r="Y90" s="50">
        <v>228</v>
      </c>
      <c r="Z90" s="116">
        <v>1</v>
      </c>
      <c r="AA90" s="116">
        <v>1</v>
      </c>
      <c r="AB90" s="13"/>
      <c r="AC90" s="13"/>
      <c r="AD90" s="13"/>
      <c r="AE90" s="13"/>
      <c r="AF90" s="13"/>
    </row>
    <row r="91" spans="1:32">
      <c r="A91" s="9"/>
      <c r="B91" s="110" t="s">
        <v>23</v>
      </c>
      <c r="C91" s="2" t="s">
        <v>252</v>
      </c>
      <c r="D91" s="3" t="s">
        <v>253</v>
      </c>
      <c r="E91" s="113" t="s">
        <v>117</v>
      </c>
      <c r="F91" s="188">
        <v>45488</v>
      </c>
      <c r="G91" s="108">
        <v>45490</v>
      </c>
      <c r="H91" s="111">
        <v>0.33333333333333331</v>
      </c>
      <c r="I91" s="111"/>
      <c r="J91" s="11"/>
      <c r="K91" s="11"/>
      <c r="L91" s="11"/>
      <c r="M91" s="11"/>
      <c r="N91" s="11"/>
      <c r="O91" s="10" t="s">
        <v>78</v>
      </c>
      <c r="P91" s="10"/>
      <c r="Q91" s="16" t="e">
        <v>#REF!</v>
      </c>
      <c r="R91" s="15" t="e">
        <v>#REF!</v>
      </c>
      <c r="S91" s="16"/>
      <c r="T91" s="9"/>
      <c r="U91" s="9"/>
      <c r="V91" s="117">
        <f>VLOOKUP(Table2[[#This Row],[Course Title]],Data!$A$1:$E$56,4,FALSE)</f>
        <v>45</v>
      </c>
      <c r="W91" s="117">
        <f>VLOOKUP(Table2[[#This Row],[Course Title]],Data!$A$1:$E$56,5,FALSE)</f>
        <v>5</v>
      </c>
      <c r="X91" s="117"/>
      <c r="Y91" s="119"/>
      <c r="Z91" s="117"/>
      <c r="AA91" s="117"/>
      <c r="AB91" s="117"/>
      <c r="AC91" s="10"/>
      <c r="AD91" s="50">
        <f ca="1">Table2[[#This Row],[End Date]]+2-TODAY()</f>
        <v>-80</v>
      </c>
      <c r="AE91" s="116">
        <f>IF(ISBLANK(#REF!),1,0)</f>
        <v>0</v>
      </c>
      <c r="AF91" s="116">
        <f ca="1">IF(Table2[[#This Row],[Start Date]]&gt;TODAY(),1,)</f>
        <v>0</v>
      </c>
    </row>
    <row r="92" spans="1:32">
      <c r="A92" s="9"/>
      <c r="B92" s="10" t="s">
        <v>24</v>
      </c>
      <c r="C92" s="2" t="s">
        <v>254</v>
      </c>
      <c r="D92" s="3" t="s">
        <v>255</v>
      </c>
      <c r="E92" s="113" t="s">
        <v>117</v>
      </c>
      <c r="F92" s="188">
        <v>45491</v>
      </c>
      <c r="G92" s="108">
        <v>45491</v>
      </c>
      <c r="H92" s="111">
        <v>0.33333333333333331</v>
      </c>
      <c r="I92" s="111"/>
      <c r="J92" s="11"/>
      <c r="K92" s="11"/>
      <c r="L92" s="11"/>
      <c r="M92" s="11"/>
      <c r="N92" s="11"/>
      <c r="O92" s="10" t="s">
        <v>78</v>
      </c>
      <c r="P92" s="10"/>
      <c r="Q92" s="117">
        <v>30</v>
      </c>
      <c r="R92" s="117">
        <v>1</v>
      </c>
      <c r="S92" s="117"/>
      <c r="T92" s="119"/>
      <c r="U92" s="117"/>
      <c r="V92" s="117"/>
      <c r="W92" s="117"/>
      <c r="X92" s="10"/>
      <c r="Y92" s="50">
        <v>249</v>
      </c>
      <c r="Z92" s="116">
        <v>1</v>
      </c>
      <c r="AA92" s="116">
        <v>1</v>
      </c>
      <c r="AB92" s="13"/>
      <c r="AC92" s="13"/>
      <c r="AD92" s="13"/>
      <c r="AE92" s="13"/>
      <c r="AF92" s="13"/>
    </row>
    <row r="93" spans="1:32">
      <c r="A93" s="9"/>
      <c r="B93" s="110" t="s">
        <v>23</v>
      </c>
      <c r="C93" s="2" t="s">
        <v>252</v>
      </c>
      <c r="D93" s="3" t="s">
        <v>253</v>
      </c>
      <c r="E93" s="10" t="s">
        <v>104</v>
      </c>
      <c r="F93" s="186">
        <v>45496</v>
      </c>
      <c r="G93" s="11">
        <v>45498</v>
      </c>
      <c r="H93" s="111">
        <v>0.33333333333333331</v>
      </c>
      <c r="I93" s="111"/>
      <c r="J93" s="11"/>
      <c r="K93" s="11"/>
      <c r="L93" s="11"/>
      <c r="M93" s="11"/>
      <c r="N93" s="11"/>
      <c r="O93" s="10" t="s">
        <v>78</v>
      </c>
      <c r="P93" s="10"/>
      <c r="Q93" s="16" t="e">
        <v>#REF!</v>
      </c>
      <c r="R93" s="15" t="e">
        <v>#REF!</v>
      </c>
      <c r="S93" s="16"/>
      <c r="T93" s="9"/>
      <c r="U93" s="9"/>
      <c r="V93" s="117">
        <f>VLOOKUP(Table2[[#This Row],[Course Title]],Data!$A$1:$E$56,4,FALSE)</f>
        <v>30</v>
      </c>
      <c r="W93" s="117">
        <f>VLOOKUP(Table2[[#This Row],[Course Title]],Data!$A$1:$E$56,5,FALSE)</f>
        <v>2</v>
      </c>
      <c r="X93" s="117"/>
      <c r="Y93" s="119"/>
      <c r="Z93" s="117"/>
      <c r="AA93" s="117"/>
      <c r="AB93" s="1"/>
      <c r="AC93" s="10"/>
      <c r="AD93" s="50">
        <f ca="1">Table2[[#This Row],[End Date]]+2-TODAY()</f>
        <v>-83</v>
      </c>
      <c r="AE93" s="116">
        <f>IF(ISBLANK(#REF!),1,0)</f>
        <v>0</v>
      </c>
      <c r="AF93" s="116">
        <f ca="1">IF(Table2[[#This Row],[Start Date]]&gt;TODAY(),1,)</f>
        <v>0</v>
      </c>
    </row>
    <row r="94" spans="1:32">
      <c r="A94" s="9"/>
      <c r="B94" s="10" t="s">
        <v>24</v>
      </c>
      <c r="C94" s="2" t="s">
        <v>254</v>
      </c>
      <c r="D94" s="3" t="s">
        <v>255</v>
      </c>
      <c r="E94" s="10" t="s">
        <v>104</v>
      </c>
      <c r="F94" s="186">
        <v>45499</v>
      </c>
      <c r="G94" s="11">
        <v>45499</v>
      </c>
      <c r="H94" s="111">
        <v>0.33333333333333331</v>
      </c>
      <c r="I94" s="111"/>
      <c r="J94" s="11"/>
      <c r="K94" s="11"/>
      <c r="L94" s="114"/>
      <c r="M94" s="11"/>
      <c r="N94" s="11"/>
      <c r="O94" s="10" t="s">
        <v>78</v>
      </c>
      <c r="P94" s="10"/>
      <c r="Q94" s="117">
        <v>30</v>
      </c>
      <c r="R94" s="117">
        <v>1</v>
      </c>
      <c r="S94" s="117"/>
      <c r="T94" s="119"/>
      <c r="U94" s="117"/>
      <c r="V94" s="117"/>
      <c r="W94" s="117"/>
      <c r="X94" s="10"/>
      <c r="Y94" s="50">
        <v>257</v>
      </c>
      <c r="Z94" s="116">
        <v>1</v>
      </c>
      <c r="AA94" s="116">
        <v>1</v>
      </c>
      <c r="AB94" s="13"/>
      <c r="AC94" s="13"/>
      <c r="AD94" s="13"/>
      <c r="AE94" s="13"/>
      <c r="AF94" s="13"/>
    </row>
    <row r="95" spans="1:32">
      <c r="A95" s="9"/>
      <c r="B95" s="10" t="s">
        <v>17</v>
      </c>
      <c r="C95" s="2" t="str">
        <f>VLOOKUP(Table2[[#This Row],[Course Title]],Data!$A$1:$E$56,2,FALSE)</f>
        <v>A-493-0078</v>
      </c>
      <c r="D95" s="3">
        <f>VLOOKUP(Table2[[#This Row],[Course Title]],Data!$A$1:$E$56,3,FALSE)</f>
        <v>1228</v>
      </c>
      <c r="E95" s="113" t="s">
        <v>103</v>
      </c>
      <c r="F95" s="188">
        <v>45502</v>
      </c>
      <c r="G95" s="11">
        <v>45506</v>
      </c>
      <c r="H95" s="112">
        <v>0.33333333333333331</v>
      </c>
      <c r="I95" s="112"/>
      <c r="J95" s="11"/>
      <c r="K95" s="11"/>
      <c r="L95" s="11"/>
      <c r="M95" s="11"/>
      <c r="N95" s="11"/>
      <c r="O95" s="10" t="s">
        <v>78</v>
      </c>
      <c r="P95" s="10"/>
      <c r="Q95" s="16" t="e">
        <v>#REF!</v>
      </c>
      <c r="R95" s="15" t="e">
        <v>#REF!</v>
      </c>
      <c r="S95" s="16"/>
      <c r="T95" s="9"/>
      <c r="U95" s="9"/>
      <c r="V95" s="117">
        <f>VLOOKUP(Table2[[#This Row],[Course Title]],Data!$A$1:$E$56,4,FALSE)</f>
        <v>45</v>
      </c>
      <c r="W95" s="117">
        <f>VLOOKUP(Table2[[#This Row],[Course Title]],Data!$A$1:$E$56,5,FALSE)</f>
        <v>5</v>
      </c>
      <c r="X95" s="117"/>
      <c r="Y95" s="119"/>
      <c r="Z95" s="117"/>
      <c r="AA95" s="117"/>
      <c r="AB95" s="117"/>
      <c r="AC95" s="10"/>
      <c r="AD95" s="50">
        <f ca="1">Table2[[#This Row],[End Date]]+2-TODAY()</f>
        <v>-80</v>
      </c>
      <c r="AE95" s="116">
        <f>IF(ISBLANK(#REF!),1,0)</f>
        <v>0</v>
      </c>
      <c r="AF95" s="116">
        <f ca="1">IF(Table2[[#This Row],[Start Date]]&gt;TODAY(),1,)</f>
        <v>0</v>
      </c>
    </row>
    <row r="96" spans="1:32">
      <c r="A96" s="9"/>
      <c r="B96" s="10" t="s">
        <v>17</v>
      </c>
      <c r="C96" s="2" t="str">
        <f>VLOOKUP(Table2[[#This Row],[Course Title]],Data!$A$1:$E$56,2,FALSE)</f>
        <v>A-493-0013</v>
      </c>
      <c r="D96" s="3">
        <f>VLOOKUP(Table2[[#This Row],[Course Title]],Data!$A$1:$E$56,3,FALSE)</f>
        <v>3683</v>
      </c>
      <c r="E96" s="113" t="s">
        <v>151</v>
      </c>
      <c r="F96" s="188">
        <v>45509</v>
      </c>
      <c r="G96" s="11">
        <v>45513</v>
      </c>
      <c r="H96" s="112">
        <v>0.33333333333333331</v>
      </c>
      <c r="I96" s="112"/>
      <c r="J96" s="11"/>
      <c r="K96" s="11"/>
      <c r="L96" s="11"/>
      <c r="M96" s="11"/>
      <c r="N96" s="11"/>
      <c r="O96" s="10" t="s">
        <v>78</v>
      </c>
      <c r="P96" s="10"/>
      <c r="Q96" s="16" t="e">
        <v>#REF!</v>
      </c>
      <c r="R96" s="15" t="e">
        <v>#REF!</v>
      </c>
      <c r="S96" s="16"/>
      <c r="T96" s="9"/>
      <c r="U96" s="9"/>
      <c r="V96" s="117">
        <f>VLOOKUP(Table2[[#This Row],[Course Title]],Data!$A$1:$E$56,4,FALSE)</f>
        <v>40</v>
      </c>
      <c r="W96" s="117">
        <f>VLOOKUP(Table2[[#This Row],[Course Title]],Data!$A$1:$E$56,5,FALSE)</f>
        <v>5</v>
      </c>
      <c r="X96" s="117"/>
      <c r="Y96" s="119"/>
      <c r="Z96" s="117"/>
      <c r="AA96" s="117"/>
      <c r="AB96" s="117"/>
      <c r="AC96" s="10"/>
      <c r="AD96" s="50">
        <f ca="1">Table2[[#This Row],[End Date]]+2-TODAY()</f>
        <v>-81</v>
      </c>
      <c r="AE96" s="116">
        <f>IF(ISBLANK(#REF!),1,0)</f>
        <v>0</v>
      </c>
      <c r="AF96" s="116">
        <f ca="1">IF(Table2[[#This Row],[Start Date]]&gt;TODAY(),1,)</f>
        <v>0</v>
      </c>
    </row>
    <row r="97" spans="1:32">
      <c r="A97" s="9"/>
      <c r="B97" s="10" t="s">
        <v>25</v>
      </c>
      <c r="C97" s="2" t="s">
        <v>256</v>
      </c>
      <c r="D97" s="3" t="s">
        <v>257</v>
      </c>
      <c r="E97" s="10" t="s">
        <v>124</v>
      </c>
      <c r="F97" s="186">
        <v>45509</v>
      </c>
      <c r="G97" s="11">
        <v>45510</v>
      </c>
      <c r="H97" s="112">
        <v>0.33333333333333331</v>
      </c>
      <c r="I97" s="112"/>
      <c r="J97" s="11"/>
      <c r="K97" s="11"/>
      <c r="L97" s="11"/>
      <c r="M97" s="11"/>
      <c r="N97" s="11"/>
      <c r="O97" s="10" t="s">
        <v>78</v>
      </c>
      <c r="P97" s="10"/>
      <c r="Q97" s="16" t="e">
        <v>#REF!</v>
      </c>
      <c r="R97" s="15" t="e">
        <v>#REF!</v>
      </c>
      <c r="S97" s="16"/>
      <c r="T97" s="9"/>
      <c r="U97" s="9"/>
      <c r="V97" s="117">
        <f>VLOOKUP(Table2[[#This Row],[Course Title]],Data!$A$1:$E$56,4,FALSE)</f>
        <v>45</v>
      </c>
      <c r="W97" s="117">
        <f>VLOOKUP(Table2[[#This Row],[Course Title]],Data!$A$1:$E$56,5,FALSE)</f>
        <v>3</v>
      </c>
      <c r="X97" s="117"/>
      <c r="Y97" s="119"/>
      <c r="Z97" s="117"/>
      <c r="AA97" s="117"/>
      <c r="AB97" s="1"/>
      <c r="AC97" s="2"/>
      <c r="AD97" s="107">
        <f ca="1">Table2[[#This Row],[End Date]]+2-TODAY()</f>
        <v>-81</v>
      </c>
      <c r="AE97" s="116">
        <f>IF(ISBLANK(#REF!),1,0)</f>
        <v>0</v>
      </c>
      <c r="AF97" s="2">
        <f ca="1">IF(Table2[[#This Row],[Start Date]]&gt;TODAY(),1,)</f>
        <v>0</v>
      </c>
    </row>
    <row r="98" spans="1:32">
      <c r="A98" s="9"/>
      <c r="B98" s="10" t="s">
        <v>26</v>
      </c>
      <c r="C98" s="2" t="str">
        <f>VLOOKUP(Table2[[#This Row],[Course Title]],Data!$A$1:$E$56,2,FALSE)</f>
        <v>A-493-0072</v>
      </c>
      <c r="D98" s="3" t="str">
        <f>VLOOKUP(Table2[[#This Row],[Course Title]],Data!$A$1:$E$56,3,FALSE)</f>
        <v>713U</v>
      </c>
      <c r="E98" s="10" t="s">
        <v>124</v>
      </c>
      <c r="F98" s="186">
        <v>45511</v>
      </c>
      <c r="G98" s="11">
        <v>45511</v>
      </c>
      <c r="H98" s="112">
        <v>0.33333333333333331</v>
      </c>
      <c r="I98" s="112"/>
      <c r="J98" s="11"/>
      <c r="K98" s="11"/>
      <c r="L98" s="11"/>
      <c r="M98" s="11"/>
      <c r="N98" s="11"/>
      <c r="O98" s="10" t="s">
        <v>78</v>
      </c>
      <c r="P98" s="10"/>
      <c r="Q98" s="16" t="e">
        <v>#REF!</v>
      </c>
      <c r="R98" s="15" t="e">
        <v>#REF!</v>
      </c>
      <c r="S98" s="16"/>
      <c r="T98" s="9"/>
      <c r="U98" s="9"/>
      <c r="V98" s="117">
        <f>VLOOKUP(Table2[[#This Row],[Course Title]],Data!$A$1:$E$56,4,FALSE)</f>
        <v>30</v>
      </c>
      <c r="W98" s="117">
        <f>VLOOKUP(Table2[[#This Row],[Course Title]],Data!$A$1:$E$56,5,FALSE)</f>
        <v>4</v>
      </c>
      <c r="X98" s="117"/>
      <c r="Y98" s="119"/>
      <c r="Z98" s="117"/>
      <c r="AA98" s="117"/>
      <c r="AB98" s="1"/>
      <c r="AC98" s="2"/>
      <c r="AD98" s="107">
        <f ca="1">Table2[[#This Row],[End Date]]+2-TODAY()</f>
        <v>-80</v>
      </c>
      <c r="AE98" s="116">
        <f>IF(ISBLANK(#REF!),1,0)</f>
        <v>0</v>
      </c>
      <c r="AF98" s="2">
        <f ca="1">IF(Table2[[#This Row],[Start Date]]&gt;TODAY(),1,)</f>
        <v>0</v>
      </c>
    </row>
    <row r="99" spans="1:32">
      <c r="A99" s="9"/>
      <c r="B99" s="10" t="s">
        <v>24</v>
      </c>
      <c r="C99" s="2" t="s">
        <v>254</v>
      </c>
      <c r="D99" s="3" t="s">
        <v>255</v>
      </c>
      <c r="E99" s="113" t="s">
        <v>156</v>
      </c>
      <c r="F99" s="188">
        <v>45512</v>
      </c>
      <c r="G99" s="108">
        <v>45512</v>
      </c>
      <c r="H99" s="111">
        <v>0.33333333333333331</v>
      </c>
      <c r="I99" s="111"/>
      <c r="J99" s="11"/>
      <c r="K99" s="11"/>
      <c r="L99" s="11"/>
      <c r="M99" s="11"/>
      <c r="N99" s="11"/>
      <c r="O99" s="10" t="s">
        <v>78</v>
      </c>
      <c r="P99" s="10"/>
      <c r="Q99" s="117">
        <v>30</v>
      </c>
      <c r="R99" s="117">
        <v>1</v>
      </c>
      <c r="S99" s="117"/>
      <c r="T99" s="119"/>
      <c r="U99" s="117"/>
      <c r="V99" s="117"/>
      <c r="W99" s="1"/>
      <c r="X99" s="2"/>
      <c r="Y99" s="107">
        <v>270</v>
      </c>
      <c r="Z99" s="116">
        <v>1</v>
      </c>
      <c r="AA99" s="2">
        <v>1</v>
      </c>
      <c r="AB99" s="9"/>
      <c r="AC99" s="9"/>
      <c r="AD99" s="9"/>
      <c r="AE99" s="9"/>
      <c r="AF99" s="9"/>
    </row>
    <row r="100" spans="1:32">
      <c r="A100" s="9"/>
      <c r="B100" s="10" t="s">
        <v>25</v>
      </c>
      <c r="C100" s="2" t="s">
        <v>256</v>
      </c>
      <c r="D100" s="3" t="s">
        <v>257</v>
      </c>
      <c r="E100" s="10" t="s">
        <v>133</v>
      </c>
      <c r="F100" s="186">
        <v>45516</v>
      </c>
      <c r="G100" s="11">
        <v>45517</v>
      </c>
      <c r="H100" s="112">
        <v>0.33333333333333331</v>
      </c>
      <c r="I100" s="112"/>
      <c r="J100" s="11"/>
      <c r="K100" s="11"/>
      <c r="L100" s="11"/>
      <c r="M100" s="11"/>
      <c r="N100" s="11"/>
      <c r="O100" s="10" t="s">
        <v>78</v>
      </c>
      <c r="P100" s="10"/>
      <c r="Q100" s="16" t="e">
        <v>#REF!</v>
      </c>
      <c r="R100" s="15" t="e">
        <v>#REF!</v>
      </c>
      <c r="S100" s="16"/>
      <c r="T100" s="9"/>
      <c r="U100" s="9"/>
      <c r="V100" s="117">
        <f>VLOOKUP(Table2[[#This Row],[Course Title]],Data!$A$1:$E$56,4,FALSE)</f>
        <v>30</v>
      </c>
      <c r="W100" s="117">
        <f>VLOOKUP(Table2[[#This Row],[Course Title]],Data!$A$1:$E$56,5,FALSE)</f>
        <v>1</v>
      </c>
      <c r="X100" s="117"/>
      <c r="Y100" s="119"/>
      <c r="Z100" s="117"/>
      <c r="AA100" s="117"/>
      <c r="AB100" s="1"/>
      <c r="AC100" s="2"/>
      <c r="AD100" s="107">
        <f ca="1">Table2[[#This Row],[End Date]]+2-TODAY()</f>
        <v>-80</v>
      </c>
      <c r="AE100" s="116">
        <f>IF(ISBLANK(#REF!),1,0)</f>
        <v>0</v>
      </c>
      <c r="AF100" s="2">
        <f ca="1">IF(Table2[[#This Row],[Start Date]]&gt;TODAY(),1,)</f>
        <v>0</v>
      </c>
    </row>
    <row r="101" spans="1:32">
      <c r="A101" s="9"/>
      <c r="B101" s="10" t="s">
        <v>18</v>
      </c>
      <c r="C101" s="2" t="str">
        <f>VLOOKUP(Table2[[#This Row],[Course Title]],Data!$A$1:$E$56,2,FALSE)</f>
        <v>A-493-0092</v>
      </c>
      <c r="D101" s="3">
        <f>VLOOKUP(Table2[[#This Row],[Course Title]],Data!$A$1:$E$56,3,FALSE)</f>
        <v>5891</v>
      </c>
      <c r="E101" s="9" t="s">
        <v>199</v>
      </c>
      <c r="F101" s="186">
        <v>45530</v>
      </c>
      <c r="G101" s="11">
        <v>45532</v>
      </c>
      <c r="H101" s="112">
        <v>0.33333333333333331</v>
      </c>
      <c r="I101" s="112"/>
      <c r="J101" s="11"/>
      <c r="K101" s="11"/>
      <c r="L101" s="11"/>
      <c r="M101" s="11"/>
      <c r="N101" s="11"/>
      <c r="O101" s="10" t="s">
        <v>78</v>
      </c>
      <c r="P101" s="10"/>
      <c r="Q101" s="16" t="e">
        <v>#REF!</v>
      </c>
      <c r="R101" s="15" t="e">
        <v>#REF!</v>
      </c>
      <c r="S101" s="16"/>
      <c r="T101" s="9"/>
      <c r="U101" s="9"/>
      <c r="V101" s="117">
        <f>VLOOKUP(Table2[[#This Row],[Course Title]],Data!$A$1:$E$56,4,FALSE)</f>
        <v>25</v>
      </c>
      <c r="W101" s="117">
        <f>VLOOKUP(Table2[[#This Row],[Course Title]],Data!$A$1:$E$56,5,FALSE)</f>
        <v>3</v>
      </c>
      <c r="X101" s="117"/>
      <c r="Y101" s="119"/>
      <c r="Z101" s="117"/>
      <c r="AA101" s="117"/>
      <c r="AB101" s="1"/>
      <c r="AC101" s="2"/>
      <c r="AD101" s="107">
        <f ca="1">Table2[[#This Row],[End Date]]+2-TODAY()</f>
        <v>-75</v>
      </c>
      <c r="AE101" s="116">
        <f>IF(ISBLANK(#REF!),1,0)</f>
        <v>0</v>
      </c>
      <c r="AF101" s="2">
        <f ca="1">IF(Table2[[#This Row],[Start Date]]&gt;TODAY(),1,)</f>
        <v>0</v>
      </c>
    </row>
    <row r="102" spans="1:32">
      <c r="A102" s="9"/>
      <c r="B102" s="10" t="s">
        <v>18</v>
      </c>
      <c r="C102" s="2" t="str">
        <f>VLOOKUP(Table2[[#This Row],[Course Title]],Data!$A$1:$E$56,2,FALSE)</f>
        <v>A-322-2604</v>
      </c>
      <c r="D102" s="3" t="str">
        <f>VLOOKUP(Table2[[#This Row],[Course Title]],Data!$A$1:$E$56,3,FALSE)</f>
        <v>10ZZ</v>
      </c>
      <c r="E102" s="10" t="s">
        <v>115</v>
      </c>
      <c r="F102" s="186">
        <v>45531</v>
      </c>
      <c r="G102" s="11">
        <v>45533</v>
      </c>
      <c r="H102" s="112">
        <v>0.33333333333333331</v>
      </c>
      <c r="I102" s="112"/>
      <c r="J102" s="112"/>
      <c r="K102" s="112"/>
      <c r="L102" s="112"/>
      <c r="M102" s="112"/>
      <c r="N102" s="11"/>
      <c r="O102" s="9" t="s">
        <v>78</v>
      </c>
      <c r="P102" s="9"/>
      <c r="Q102" s="15" t="e">
        <v>#REF!</v>
      </c>
      <c r="R102" s="15" t="e">
        <v>#REF!</v>
      </c>
      <c r="S102" s="171"/>
      <c r="T102" s="9"/>
      <c r="U102" s="9"/>
      <c r="V102" s="117">
        <f>VLOOKUP(Table2[[#This Row],[Course Title]],Data!$A$1:$E$56,4,FALSE)</f>
        <v>45</v>
      </c>
      <c r="W102" s="117">
        <f>VLOOKUP(Table2[[#This Row],[Course Title]],Data!$A$1:$E$56,5,FALSE)</f>
        <v>5</v>
      </c>
      <c r="X102" s="117"/>
      <c r="Y102" s="119"/>
      <c r="Z102" s="117"/>
      <c r="AA102" s="117"/>
      <c r="AB102" s="1"/>
      <c r="AC102" s="2"/>
      <c r="AD102" s="107">
        <f ca="1">Table2[[#This Row],[End Date]]+2-TODAY()</f>
        <v>-73</v>
      </c>
      <c r="AE102" s="116">
        <f>IF(ISBLANK(#REF!),1,0)</f>
        <v>0</v>
      </c>
      <c r="AF102" s="2">
        <f ca="1">IF(Table2[[#This Row],[Start Date]]&gt;TODAY(),1,)</f>
        <v>0</v>
      </c>
    </row>
    <row r="103" spans="1:32">
      <c r="A103" s="9"/>
      <c r="B103" s="10" t="s">
        <v>27</v>
      </c>
      <c r="C103" s="2" t="s">
        <v>263</v>
      </c>
      <c r="D103" s="3" t="s">
        <v>264</v>
      </c>
      <c r="E103" s="113" t="s">
        <v>251</v>
      </c>
      <c r="F103" s="186">
        <v>45532</v>
      </c>
      <c r="G103" s="11">
        <v>45532</v>
      </c>
      <c r="H103" s="112">
        <v>0.33333333333333331</v>
      </c>
      <c r="I103" s="112"/>
      <c r="J103" s="11"/>
      <c r="K103" s="11"/>
      <c r="L103" s="11"/>
      <c r="M103" s="11"/>
      <c r="N103" s="11"/>
      <c r="O103" s="10" t="s">
        <v>78</v>
      </c>
      <c r="P103" s="10"/>
      <c r="Q103" s="16" t="e">
        <v>#REF!</v>
      </c>
      <c r="R103" s="15" t="e">
        <v>#REF!</v>
      </c>
      <c r="S103" s="16"/>
      <c r="T103" s="9"/>
      <c r="U103" s="9"/>
      <c r="V103" s="117">
        <f>VLOOKUP(Table2[[#This Row],[Course Title]],Data!$A$1:$E$56,4,FALSE)</f>
        <v>30</v>
      </c>
      <c r="W103" s="117">
        <f>VLOOKUP(Table2[[#This Row],[Course Title]],Data!$A$1:$E$56,5,FALSE)</f>
        <v>4</v>
      </c>
      <c r="X103" s="117"/>
      <c r="Y103" s="119"/>
      <c r="Z103" s="117"/>
      <c r="AA103" s="117"/>
      <c r="AB103" s="1"/>
      <c r="AC103" s="2"/>
      <c r="AD103" s="107">
        <f ca="1">Table2[[#This Row],[End Date]]+2-TODAY()</f>
        <v>-74</v>
      </c>
      <c r="AE103" s="116">
        <f>IF(ISBLANK(#REF!),1,0)</f>
        <v>0</v>
      </c>
      <c r="AF103" s="2">
        <f ca="1">IF(Table2[[#This Row],[Start Date]]&gt;TODAY(),1,)</f>
        <v>0</v>
      </c>
    </row>
    <row r="104" spans="1:32">
      <c r="A104" s="9"/>
      <c r="B104" s="10" t="s">
        <v>24</v>
      </c>
      <c r="C104" s="2" t="s">
        <v>254</v>
      </c>
      <c r="D104" s="3" t="s">
        <v>255</v>
      </c>
      <c r="E104" s="113" t="s">
        <v>147</v>
      </c>
      <c r="F104" s="188">
        <v>45533</v>
      </c>
      <c r="G104" s="108">
        <v>45533</v>
      </c>
      <c r="H104" s="111">
        <v>0.33333333333333331</v>
      </c>
      <c r="I104" s="111"/>
      <c r="J104" s="11"/>
      <c r="K104" s="11"/>
      <c r="L104" s="11"/>
      <c r="M104" s="11"/>
      <c r="N104" s="11"/>
      <c r="O104" s="10" t="s">
        <v>78</v>
      </c>
      <c r="P104" s="10"/>
      <c r="Q104" s="117">
        <v>30</v>
      </c>
      <c r="R104" s="117">
        <v>1</v>
      </c>
      <c r="S104" s="117"/>
      <c r="T104" s="119"/>
      <c r="U104" s="117"/>
      <c r="V104" s="117"/>
      <c r="W104" s="1"/>
      <c r="X104" s="2"/>
      <c r="Y104" s="107">
        <v>291</v>
      </c>
      <c r="Z104" s="116">
        <v>1</v>
      </c>
      <c r="AA104" s="2">
        <v>1</v>
      </c>
      <c r="AB104" s="9"/>
      <c r="AC104" s="9"/>
      <c r="AD104" s="9"/>
      <c r="AE104" s="9"/>
      <c r="AF104" s="9"/>
    </row>
    <row r="105" spans="1:32">
      <c r="A105" s="9"/>
      <c r="B105" s="110" t="s">
        <v>23</v>
      </c>
      <c r="C105" s="2" t="s">
        <v>252</v>
      </c>
      <c r="D105" s="3" t="s">
        <v>253</v>
      </c>
      <c r="E105" s="10" t="s">
        <v>133</v>
      </c>
      <c r="F105" s="188">
        <v>45538</v>
      </c>
      <c r="G105" s="108">
        <v>45540</v>
      </c>
      <c r="H105" s="111">
        <v>0.33333333333333331</v>
      </c>
      <c r="I105" s="111"/>
      <c r="J105" s="11"/>
      <c r="K105" s="11"/>
      <c r="L105" s="11"/>
      <c r="M105" s="11"/>
      <c r="N105" s="11"/>
      <c r="O105" s="10" t="s">
        <v>78</v>
      </c>
      <c r="P105" s="10"/>
      <c r="Q105" s="16" t="e">
        <v>#REF!</v>
      </c>
      <c r="R105" s="15" t="e">
        <v>#REF!</v>
      </c>
      <c r="S105" s="16"/>
      <c r="T105" s="9"/>
      <c r="U105" s="9"/>
      <c r="V105" s="117">
        <f>VLOOKUP(Table2[[#This Row],[Course Title]],Data!$A$1:$E$56,4,FALSE)</f>
        <v>100</v>
      </c>
      <c r="W105" s="117">
        <f>VLOOKUP(Table2[[#This Row],[Course Title]],Data!$A$1:$E$56,5,FALSE)</f>
        <v>5</v>
      </c>
      <c r="X105" s="117"/>
      <c r="Y105" s="119"/>
      <c r="Z105" s="117"/>
      <c r="AA105" s="117"/>
      <c r="AB105" s="1"/>
      <c r="AC105" s="2"/>
      <c r="AD105" s="107">
        <f ca="1">Table2[[#This Row],[End Date]]+2-TODAY()</f>
        <v>-73</v>
      </c>
      <c r="AE105" s="116">
        <f>IF(ISBLANK(#REF!),1,0)</f>
        <v>0</v>
      </c>
      <c r="AF105" s="2">
        <f ca="1">IF(Table2[[#This Row],[Start Date]]&gt;TODAY(),1,)</f>
        <v>0</v>
      </c>
    </row>
    <row r="106" spans="1:32">
      <c r="A106" s="9"/>
      <c r="B106" s="110" t="s">
        <v>23</v>
      </c>
      <c r="C106" s="2" t="s">
        <v>252</v>
      </c>
      <c r="D106" s="3" t="s">
        <v>253</v>
      </c>
      <c r="E106" s="113" t="s">
        <v>150</v>
      </c>
      <c r="F106" s="188">
        <v>45538</v>
      </c>
      <c r="G106" s="108">
        <v>45540</v>
      </c>
      <c r="H106" s="111">
        <v>0.33333333333333331</v>
      </c>
      <c r="I106" s="111"/>
      <c r="J106" s="11"/>
      <c r="K106" s="11"/>
      <c r="L106" s="11"/>
      <c r="M106" s="11"/>
      <c r="N106" s="11"/>
      <c r="O106" s="10" t="s">
        <v>78</v>
      </c>
      <c r="P106" s="10"/>
      <c r="Q106" s="16" t="e">
        <v>#REF!</v>
      </c>
      <c r="R106" s="15" t="e">
        <v>#REF!</v>
      </c>
      <c r="S106" s="16"/>
      <c r="T106" s="9"/>
      <c r="U106" s="9"/>
      <c r="V106" s="117">
        <f>VLOOKUP(Table2[[#This Row],[Course Title]],Data!$A$1:$E$56,4,FALSE)</f>
        <v>45</v>
      </c>
      <c r="W106" s="117">
        <f>VLOOKUP(Table2[[#This Row],[Course Title]],Data!$A$1:$E$56,5,FALSE)</f>
        <v>5</v>
      </c>
      <c r="X106" s="117"/>
      <c r="Y106" s="119"/>
      <c r="Z106" s="117"/>
      <c r="AA106" s="117"/>
      <c r="AB106" s="1"/>
      <c r="AC106" s="2"/>
      <c r="AD106" s="107">
        <f ca="1">Table2[[#This Row],[End Date]]+2-TODAY()</f>
        <v>-66</v>
      </c>
      <c r="AE106" s="116">
        <f>IF(ISBLANK(#REF!),1,0)</f>
        <v>0</v>
      </c>
      <c r="AF106" s="2">
        <f ca="1">IF(Table2[[#This Row],[Start Date]]&gt;TODAY(),1,)</f>
        <v>0</v>
      </c>
    </row>
    <row r="107" spans="1:32">
      <c r="A107" s="9"/>
      <c r="B107" s="10" t="s">
        <v>24</v>
      </c>
      <c r="C107" s="2" t="s">
        <v>254</v>
      </c>
      <c r="D107" s="3" t="s">
        <v>255</v>
      </c>
      <c r="E107" s="10" t="s">
        <v>133</v>
      </c>
      <c r="F107" s="188">
        <v>45541</v>
      </c>
      <c r="G107" s="108">
        <v>45541</v>
      </c>
      <c r="H107" s="111">
        <v>0.33333333333333331</v>
      </c>
      <c r="I107" s="111"/>
      <c r="J107" s="11"/>
      <c r="K107" s="11"/>
      <c r="L107" s="11"/>
      <c r="M107" s="11"/>
      <c r="N107" s="11"/>
      <c r="O107" s="10" t="s">
        <v>78</v>
      </c>
      <c r="P107" s="10"/>
      <c r="Q107" s="117">
        <v>30</v>
      </c>
      <c r="R107" s="117">
        <v>1</v>
      </c>
      <c r="S107" s="117"/>
      <c r="T107" s="119"/>
      <c r="U107" s="117"/>
      <c r="V107" s="117"/>
      <c r="W107" s="1"/>
      <c r="X107" s="2"/>
      <c r="Y107" s="107">
        <v>299</v>
      </c>
      <c r="Z107" s="116">
        <v>1</v>
      </c>
      <c r="AA107" s="2">
        <v>1</v>
      </c>
      <c r="AB107" s="13"/>
      <c r="AC107" s="13"/>
      <c r="AD107" s="13"/>
      <c r="AE107" s="13"/>
      <c r="AF107" s="13"/>
    </row>
    <row r="108" spans="1:32">
      <c r="A108" s="9"/>
      <c r="B108" s="10" t="s">
        <v>24</v>
      </c>
      <c r="C108" s="2" t="s">
        <v>254</v>
      </c>
      <c r="D108" s="3" t="s">
        <v>255</v>
      </c>
      <c r="E108" s="113" t="s">
        <v>150</v>
      </c>
      <c r="F108" s="188">
        <v>45541</v>
      </c>
      <c r="G108" s="108">
        <v>45541</v>
      </c>
      <c r="H108" s="111">
        <v>0.33333333333333331</v>
      </c>
      <c r="I108" s="111"/>
      <c r="J108" s="11"/>
      <c r="K108" s="11"/>
      <c r="L108" s="11"/>
      <c r="M108" s="11"/>
      <c r="N108" s="11"/>
      <c r="O108" s="10" t="s">
        <v>78</v>
      </c>
      <c r="P108" s="10"/>
      <c r="Q108" s="117">
        <v>30</v>
      </c>
      <c r="R108" s="117">
        <v>1</v>
      </c>
      <c r="S108" s="117"/>
      <c r="T108" s="119"/>
      <c r="U108" s="117"/>
      <c r="V108" s="117"/>
      <c r="W108" s="1"/>
      <c r="X108" s="2"/>
      <c r="Y108" s="107">
        <v>299</v>
      </c>
      <c r="Z108" s="116">
        <v>1</v>
      </c>
      <c r="AA108" s="2">
        <v>1</v>
      </c>
      <c r="AB108" s="9"/>
      <c r="AC108" s="9"/>
      <c r="AD108" s="9"/>
      <c r="AE108" s="9"/>
      <c r="AF108" s="9"/>
    </row>
    <row r="109" spans="1:32">
      <c r="A109" s="9"/>
      <c r="B109" s="10" t="s">
        <v>17</v>
      </c>
      <c r="C109" s="2" t="str">
        <f>VLOOKUP(Table2[[#This Row],[Course Title]],Data!$A$1:$E$56,2,FALSE)</f>
        <v>A-493-0061</v>
      </c>
      <c r="D109" s="3" t="str">
        <f>VLOOKUP(Table2[[#This Row],[Course Title]],Data!$A$1:$E$56,3,FALSE)</f>
        <v>288E</v>
      </c>
      <c r="E109" s="10" t="s">
        <v>279</v>
      </c>
      <c r="F109" s="186">
        <v>45544</v>
      </c>
      <c r="G109" s="11">
        <v>45548</v>
      </c>
      <c r="H109" s="112">
        <v>0.33333333333333331</v>
      </c>
      <c r="I109" s="112"/>
      <c r="J109" s="11"/>
      <c r="K109" s="11"/>
      <c r="L109" s="11"/>
      <c r="M109" s="11"/>
      <c r="N109" s="11"/>
      <c r="O109" s="10" t="s">
        <v>78</v>
      </c>
      <c r="P109" s="10"/>
      <c r="Q109" s="16" t="e">
        <v>#REF!</v>
      </c>
      <c r="R109" s="15" t="e">
        <v>#REF!</v>
      </c>
      <c r="S109" s="16"/>
      <c r="T109" s="9"/>
      <c r="U109" s="9"/>
      <c r="V109" s="117">
        <f>VLOOKUP(Table2[[#This Row],[Course Title]],Data!$A$1:$E$56,4,FALSE)</f>
        <v>45</v>
      </c>
      <c r="W109" s="117">
        <f>VLOOKUP(Table2[[#This Row],[Course Title]],Data!$A$1:$E$56,5,FALSE)</f>
        <v>5</v>
      </c>
      <c r="X109" s="117"/>
      <c r="Y109" s="119"/>
      <c r="Z109" s="117"/>
      <c r="AA109" s="117"/>
      <c r="AB109" s="1"/>
      <c r="AC109" s="2"/>
      <c r="AD109" s="107">
        <f ca="1">Table2[[#This Row],[End Date]]+2-TODAY()</f>
        <v>-66</v>
      </c>
      <c r="AE109" s="116">
        <f>IF(ISBLANK(#REF!),1,0)</f>
        <v>0</v>
      </c>
      <c r="AF109" s="2">
        <f ca="1">IF(Table2[[#This Row],[Start Date]]&gt;TODAY(),1,)</f>
        <v>0</v>
      </c>
    </row>
    <row r="110" spans="1:32">
      <c r="A110" s="9"/>
      <c r="B110" s="10" t="s">
        <v>17</v>
      </c>
      <c r="C110" s="2" t="str">
        <f>VLOOKUP(Table2[[#This Row],[Course Title]],Data!$A$1:$E$56,2,FALSE)</f>
        <v>A-322-2604</v>
      </c>
      <c r="D110" s="3">
        <v>3682</v>
      </c>
      <c r="E110" s="113" t="s">
        <v>352</v>
      </c>
      <c r="F110" s="188">
        <v>45544</v>
      </c>
      <c r="G110" s="11">
        <v>45548</v>
      </c>
      <c r="H110" s="112">
        <v>0.33333333333333331</v>
      </c>
      <c r="I110" s="112"/>
      <c r="J110" s="11"/>
      <c r="K110" s="11"/>
      <c r="L110" s="11"/>
      <c r="M110" s="11"/>
      <c r="N110" s="11"/>
      <c r="O110" s="10" t="s">
        <v>78</v>
      </c>
      <c r="P110" s="10"/>
      <c r="Q110" s="16" t="e">
        <v>#REF!</v>
      </c>
      <c r="R110" s="15" t="e">
        <v>#REF!</v>
      </c>
      <c r="S110" s="16"/>
      <c r="T110" s="9"/>
      <c r="U110" s="9"/>
      <c r="V110" s="117">
        <f>VLOOKUP(Table2[[#This Row],[Course Title]],Data!$A$1:$E$56,4,FALSE)</f>
        <v>45</v>
      </c>
      <c r="W110" s="117">
        <f>VLOOKUP(Table2[[#This Row],[Course Title]],Data!$A$1:$E$56,5,FALSE)</f>
        <v>5</v>
      </c>
      <c r="X110" s="117"/>
      <c r="Y110" s="119"/>
      <c r="Z110" s="117"/>
      <c r="AA110" s="117"/>
      <c r="AB110" s="1"/>
      <c r="AC110" s="2"/>
      <c r="AD110" s="107">
        <f ca="1">Table2[[#This Row],[End Date]]+2-TODAY()</f>
        <v>-66</v>
      </c>
      <c r="AE110" s="116">
        <f>IF(ISBLANK(#REF!),1,0)</f>
        <v>0</v>
      </c>
      <c r="AF110" s="2">
        <f ca="1">IF(Table2[[#This Row],[Start Date]]&gt;TODAY(),1,)</f>
        <v>0</v>
      </c>
    </row>
    <row r="111" spans="1:32">
      <c r="A111" s="9"/>
      <c r="B111" s="10" t="s">
        <v>27</v>
      </c>
      <c r="C111" s="2" t="s">
        <v>263</v>
      </c>
      <c r="D111" s="3" t="s">
        <v>264</v>
      </c>
      <c r="E111" s="113" t="s">
        <v>109</v>
      </c>
      <c r="F111" s="186">
        <v>45547</v>
      </c>
      <c r="G111" s="11">
        <v>45547</v>
      </c>
      <c r="H111" s="112">
        <v>0.33333333333333331</v>
      </c>
      <c r="I111" s="112"/>
      <c r="J111" s="11"/>
      <c r="K111" s="11"/>
      <c r="L111" s="11"/>
      <c r="M111" s="11"/>
      <c r="N111" s="11"/>
      <c r="O111" s="10" t="s">
        <v>78</v>
      </c>
      <c r="P111" s="10"/>
      <c r="Q111" s="16" t="e">
        <v>#REF!</v>
      </c>
      <c r="R111" s="15" t="e">
        <v>#REF!</v>
      </c>
      <c r="S111" s="16"/>
      <c r="T111" s="9"/>
      <c r="U111" s="9"/>
      <c r="V111" s="117">
        <f>VLOOKUP(Table2[[#This Row],[Course Title]],Data!$A$1:$E$56,4,FALSE)</f>
        <v>45</v>
      </c>
      <c r="W111" s="117">
        <f>VLOOKUP(Table2[[#This Row],[Course Title]],Data!$A$1:$E$56,5,FALSE)</f>
        <v>4</v>
      </c>
      <c r="X111" s="117"/>
      <c r="Y111" s="119"/>
      <c r="Z111" s="117"/>
      <c r="AA111" s="117"/>
      <c r="AB111" s="1"/>
      <c r="AC111" s="2"/>
      <c r="AD111" s="107">
        <f ca="1">Table2[[#This Row],[End Date]]+2-TODAY()</f>
        <v>-66</v>
      </c>
      <c r="AE111" s="116">
        <f>IF(ISBLANK(#REF!),1,0)</f>
        <v>0</v>
      </c>
      <c r="AF111" s="2">
        <f ca="1">IF(Table2[[#This Row],[Start Date]]&gt;TODAY(),1,)</f>
        <v>0</v>
      </c>
    </row>
    <row r="112" spans="1:32" s="157" customFormat="1" ht="14.25" customHeight="1">
      <c r="A112" s="9"/>
      <c r="B112" s="10" t="s">
        <v>17</v>
      </c>
      <c r="C112" s="2" t="str">
        <f>VLOOKUP(Table2[[#This Row],[Course Title]],Data!$A$1:$E$56,2,FALSE)</f>
        <v>A-493-0078</v>
      </c>
      <c r="D112" s="3">
        <v>3682</v>
      </c>
      <c r="E112" s="10" t="s">
        <v>155</v>
      </c>
      <c r="F112" s="186">
        <v>45551</v>
      </c>
      <c r="G112" s="11">
        <v>45555</v>
      </c>
      <c r="H112" s="112">
        <v>0.33333333333333331</v>
      </c>
      <c r="I112" s="112"/>
      <c r="J112" s="112"/>
      <c r="K112" s="112"/>
      <c r="L112" s="112"/>
      <c r="M112" s="112"/>
      <c r="N112" s="11"/>
      <c r="O112" s="9" t="s">
        <v>78</v>
      </c>
      <c r="P112" s="9"/>
      <c r="Q112" s="15" t="e">
        <v>#REF!</v>
      </c>
      <c r="R112" s="15" t="e">
        <v>#REF!</v>
      </c>
      <c r="S112" s="171"/>
      <c r="T112" s="9"/>
      <c r="U112" s="9"/>
      <c r="V112" s="117">
        <f>VLOOKUP(Table2[[#This Row],[Course Title]],Data!$A$1:$E$56,4,FALSE)</f>
        <v>45</v>
      </c>
      <c r="W112" s="117">
        <f>VLOOKUP(Table2[[#This Row],[Course Title]],Data!$A$1:$E$56,5,FALSE)</f>
        <v>5</v>
      </c>
      <c r="X112" s="117"/>
      <c r="Y112" s="119"/>
      <c r="Z112" s="117"/>
      <c r="AA112" s="117"/>
      <c r="AB112" s="1"/>
      <c r="AC112" s="2"/>
      <c r="AD112" s="107">
        <f ca="1">Table2[[#This Row],[End Date]]+2-TODAY()</f>
        <v>-66</v>
      </c>
      <c r="AE112" s="116">
        <f>IF(ISBLANK(#REF!),1,0)</f>
        <v>0</v>
      </c>
      <c r="AF112" s="2">
        <f ca="1">IF(Table2[[#This Row],[Start Date]]&gt;TODAY(),1,)</f>
        <v>0</v>
      </c>
    </row>
    <row r="113" spans="1:32">
      <c r="A113" t="s">
        <v>429</v>
      </c>
      <c r="B113" t="s">
        <v>17</v>
      </c>
      <c r="C113" t="s">
        <v>232</v>
      </c>
      <c r="D113" s="184">
        <v>3682</v>
      </c>
      <c r="E113" t="s">
        <v>133</v>
      </c>
      <c r="F113" s="186">
        <v>45558</v>
      </c>
      <c r="G113" s="11">
        <v>45562</v>
      </c>
      <c r="H113" s="112">
        <v>0.33333333333333331</v>
      </c>
      <c r="O113" t="s">
        <v>78</v>
      </c>
      <c r="Q113">
        <v>40</v>
      </c>
      <c r="R113">
        <v>5</v>
      </c>
    </row>
    <row r="114" spans="1:32">
      <c r="A114" s="9"/>
      <c r="B114" s="10" t="s">
        <v>25</v>
      </c>
      <c r="C114" s="2" t="s">
        <v>256</v>
      </c>
      <c r="D114" s="3" t="s">
        <v>257</v>
      </c>
      <c r="E114" s="10" t="s">
        <v>147</v>
      </c>
      <c r="F114" s="186">
        <v>45558</v>
      </c>
      <c r="G114" s="11">
        <v>45559</v>
      </c>
      <c r="H114" s="112">
        <v>0.33333333333333331</v>
      </c>
      <c r="I114" s="112"/>
      <c r="J114" s="11"/>
      <c r="K114" s="11"/>
      <c r="L114" s="11"/>
      <c r="M114" s="11"/>
      <c r="N114" s="11"/>
      <c r="O114" s="10" t="s">
        <v>78</v>
      </c>
      <c r="P114" s="10"/>
      <c r="Q114" s="16" t="e">
        <v>#REF!</v>
      </c>
      <c r="R114" s="15" t="e">
        <v>#REF!</v>
      </c>
      <c r="S114" s="16"/>
      <c r="T114" s="9"/>
      <c r="U114" s="9"/>
      <c r="V114" s="117">
        <f>VLOOKUP(Table2[[#This Row],[Course Title]],Data!$A$1:$E$56,4,FALSE)</f>
        <v>25</v>
      </c>
      <c r="W114" s="117">
        <f>VLOOKUP(Table2[[#This Row],[Course Title]],Data!$A$1:$E$56,5,FALSE)</f>
        <v>2</v>
      </c>
      <c r="X114" s="117"/>
      <c r="Y114" s="119"/>
      <c r="Z114" s="117"/>
      <c r="AA114" s="117"/>
      <c r="AB114" s="1"/>
      <c r="AC114" s="2"/>
      <c r="AD114" s="107">
        <f ca="1">Table2[[#This Row],[End Date]]+2-TODAY()</f>
        <v>-66</v>
      </c>
      <c r="AE114" s="116">
        <f>IF(ISBLANK(#REF!),1,0)</f>
        <v>0</v>
      </c>
      <c r="AF114" s="2">
        <f ca="1">IF(Table2[[#This Row],[Start Date]]&gt;TODAY(),1,)</f>
        <v>0</v>
      </c>
    </row>
    <row r="115" spans="1:32">
      <c r="A115" s="9"/>
      <c r="B115" s="10" t="s">
        <v>25</v>
      </c>
      <c r="C115" s="2" t="s">
        <v>256</v>
      </c>
      <c r="D115" s="3" t="s">
        <v>257</v>
      </c>
      <c r="E115" s="113" t="s">
        <v>151</v>
      </c>
      <c r="F115" s="186">
        <v>45558</v>
      </c>
      <c r="G115" s="11">
        <v>45559</v>
      </c>
      <c r="H115" s="112">
        <v>0.33333333333333331</v>
      </c>
      <c r="I115" s="112"/>
      <c r="J115" s="11"/>
      <c r="K115" s="11"/>
      <c r="L115" s="11"/>
      <c r="M115" s="11"/>
      <c r="N115" s="11"/>
      <c r="O115" s="10" t="s">
        <v>78</v>
      </c>
      <c r="P115" s="10"/>
      <c r="Q115" s="16" t="e">
        <v>#REF!</v>
      </c>
      <c r="R115" s="15" t="e">
        <v>#REF!</v>
      </c>
      <c r="S115" s="16"/>
      <c r="T115" s="9"/>
      <c r="U115" s="9"/>
      <c r="V115" s="117">
        <f>VLOOKUP(Table2[[#This Row],[Course Title]],Data!$A$1:$E$56,4,FALSE)</f>
        <v>25</v>
      </c>
      <c r="W115" s="117">
        <f>VLOOKUP(Table2[[#This Row],[Course Title]],Data!$A$1:$E$56,5,FALSE)</f>
        <v>3</v>
      </c>
      <c r="X115" s="117"/>
      <c r="Y115" s="119"/>
      <c r="Z115" s="117"/>
      <c r="AA115" s="117"/>
      <c r="AB115" s="1"/>
      <c r="AC115" s="2"/>
      <c r="AD115" s="107">
        <f ca="1">Table2[[#This Row],[End Date]]+2-TODAY()</f>
        <v>-68</v>
      </c>
      <c r="AE115" s="116">
        <f>IF(ISBLANK(#REF!),1,0)</f>
        <v>0</v>
      </c>
      <c r="AF115" s="2">
        <f ca="1">IF(Table2[[#This Row],[Start Date]]&gt;TODAY(),1,)</f>
        <v>0</v>
      </c>
    </row>
    <row r="116" spans="1:32">
      <c r="A116" t="s">
        <v>438</v>
      </c>
      <c r="B116" t="s">
        <v>27</v>
      </c>
      <c r="C116" t="s">
        <v>263</v>
      </c>
      <c r="D116" s="184" t="s">
        <v>264</v>
      </c>
      <c r="E116" t="s">
        <v>151</v>
      </c>
      <c r="F116" s="186">
        <v>45560</v>
      </c>
      <c r="G116" s="11">
        <v>45560</v>
      </c>
      <c r="H116" s="112">
        <v>0.33333333333333331</v>
      </c>
      <c r="O116" t="s">
        <v>78</v>
      </c>
      <c r="Q116" t="e">
        <v>#REF!</v>
      </c>
      <c r="R116" t="e">
        <v>#REF!</v>
      </c>
    </row>
    <row r="117" spans="1:32">
      <c r="A117" s="9"/>
      <c r="B117" s="10" t="s">
        <v>35</v>
      </c>
      <c r="C117" s="2" t="s">
        <v>296</v>
      </c>
      <c r="D117" s="3" t="s">
        <v>297</v>
      </c>
      <c r="E117" s="10" t="s">
        <v>147</v>
      </c>
      <c r="F117" s="186">
        <v>45562</v>
      </c>
      <c r="G117" s="11">
        <v>45562</v>
      </c>
      <c r="H117" s="112">
        <v>0.33333333333333331</v>
      </c>
      <c r="I117" s="112"/>
      <c r="J117" s="11"/>
      <c r="K117" s="11"/>
      <c r="L117" s="11"/>
      <c r="M117" s="11"/>
      <c r="N117" s="11"/>
      <c r="O117" s="10" t="s">
        <v>78</v>
      </c>
      <c r="P117" s="10"/>
      <c r="Q117" s="117">
        <v>30</v>
      </c>
      <c r="R117" s="117">
        <v>1</v>
      </c>
      <c r="S117" s="117"/>
      <c r="T117" s="119"/>
      <c r="U117" s="117"/>
      <c r="V117" s="117"/>
      <c r="W117" s="1"/>
      <c r="X117" s="2"/>
      <c r="Y117" s="107">
        <v>320</v>
      </c>
      <c r="Z117" s="116">
        <v>1</v>
      </c>
      <c r="AA117" s="2">
        <v>1</v>
      </c>
      <c r="AB117" s="9"/>
      <c r="AC117" s="9"/>
      <c r="AD117" s="9"/>
      <c r="AE117" s="9"/>
      <c r="AF117" s="9"/>
    </row>
    <row r="118" spans="1:32" s="157" customFormat="1" ht="16.5" customHeight="1">
      <c r="A118" s="105" t="s">
        <v>439</v>
      </c>
      <c r="B118" s="158" t="s">
        <v>10</v>
      </c>
      <c r="C118" s="159" t="str">
        <f>VLOOKUP(Table2[[#This Row],[Course Title]],Data!$A$1:$E$56,2,FALSE)</f>
        <v xml:space="preserve">A-493-0075 </v>
      </c>
      <c r="D118" s="170" t="str">
        <f>VLOOKUP(Table2[[#This Row],[Course Title]],Data!$A$1:$E$56,3,FALSE)</f>
        <v>714U</v>
      </c>
      <c r="E118" s="158" t="s">
        <v>251</v>
      </c>
      <c r="F118" s="187">
        <v>45327</v>
      </c>
      <c r="G118" s="161">
        <v>45331</v>
      </c>
      <c r="H118" s="168">
        <v>0.33333333333333331</v>
      </c>
      <c r="I118" s="168"/>
      <c r="J118" s="161"/>
      <c r="K118" s="161"/>
      <c r="L118" s="161"/>
      <c r="M118" s="161"/>
      <c r="N118" s="161"/>
      <c r="O118" s="158" t="s">
        <v>81</v>
      </c>
      <c r="P118" s="158" t="s">
        <v>84</v>
      </c>
      <c r="Q118" s="163" t="e">
        <v>#REF!</v>
      </c>
      <c r="R118" s="163" t="e">
        <v>#REF!</v>
      </c>
      <c r="S118" s="165"/>
      <c r="T118" s="105"/>
      <c r="U118" s="105"/>
      <c r="V118" s="27">
        <f>VLOOKUP(Table2[[#This Row],[Course Title]],Data!$A$1:$E$56,4,FALSE)</f>
        <v>30</v>
      </c>
      <c r="W118" s="27">
        <f>VLOOKUP(Table2[[#This Row],[Course Title]],Data!$A$1:$E$56,5,FALSE)</f>
        <v>4</v>
      </c>
      <c r="X118" s="27"/>
      <c r="Y118" s="162"/>
      <c r="Z118" s="27"/>
      <c r="AA118" s="27"/>
      <c r="AB118" s="159"/>
      <c r="AC118" s="104"/>
      <c r="AD118" s="118">
        <f ca="1">Table2[[#This Row],[End Date]]+2-TODAY()</f>
        <v>-66</v>
      </c>
      <c r="AE118" s="27">
        <f>IF(ISBLANK(#REF!),1,0)</f>
        <v>0</v>
      </c>
      <c r="AF118" s="27">
        <f ca="1">IF(Table2[[#This Row],[Start Date]]&gt;TODAY(),1,)</f>
        <v>0</v>
      </c>
    </row>
    <row r="119" spans="1:32" s="157" customFormat="1" ht="14.25" customHeight="1">
      <c r="A119" s="105" t="s">
        <v>439</v>
      </c>
      <c r="B119" s="158" t="s">
        <v>6</v>
      </c>
      <c r="C119" s="159" t="str">
        <f>VLOOKUP(Table2[[#This Row],[Course Title]],Data!$A$1:$E$56,2,FALSE)</f>
        <v>A-493-0331</v>
      </c>
      <c r="D119" s="170" t="str">
        <f>VLOOKUP(Table2[[#This Row],[Course Title]],Data!$A$1:$E$56,3,FALSE)</f>
        <v>10UG</v>
      </c>
      <c r="E119" s="158" t="s">
        <v>251</v>
      </c>
      <c r="F119" s="187">
        <v>45334</v>
      </c>
      <c r="G119" s="161">
        <v>45336</v>
      </c>
      <c r="H119" s="168">
        <v>0.33333333333333331</v>
      </c>
      <c r="I119" s="168"/>
      <c r="J119" s="161"/>
      <c r="K119" s="161"/>
      <c r="L119" s="161"/>
      <c r="M119" s="161"/>
      <c r="N119" s="161"/>
      <c r="O119" s="158" t="s">
        <v>81</v>
      </c>
      <c r="P119" s="158" t="s">
        <v>84</v>
      </c>
      <c r="Q119" s="163" t="e">
        <v>#REF!</v>
      </c>
      <c r="R119" s="163" t="e">
        <v>#REF!</v>
      </c>
      <c r="S119" s="165"/>
      <c r="T119" s="105"/>
      <c r="U119" s="105"/>
      <c r="V119" s="27">
        <f>VLOOKUP(Table2[[#This Row],[Course Title]],Data!$A$1:$E$56,4,FALSE)</f>
        <v>40</v>
      </c>
      <c r="W119" s="27">
        <f>VLOOKUP(Table2[[#This Row],[Course Title]],Data!$A$1:$E$56,5,FALSE)</f>
        <v>3</v>
      </c>
      <c r="X119" s="27"/>
      <c r="Y119" s="162"/>
      <c r="Z119" s="27"/>
      <c r="AA119" s="27"/>
      <c r="AB119" s="27"/>
      <c r="AC119" s="104"/>
      <c r="AD119" s="118">
        <f ca="1">Table2[[#This Row],[End Date]]+2-TODAY()</f>
        <v>-67</v>
      </c>
      <c r="AE119" s="27">
        <f>IF(ISBLANK(#REF!),1,0)</f>
        <v>0</v>
      </c>
      <c r="AF119" s="27">
        <f ca="1">IF(Table2[[#This Row],[Start Date]]&gt;TODAY(),1,)</f>
        <v>0</v>
      </c>
    </row>
    <row r="120" spans="1:32" s="157" customFormat="1" ht="14.25" customHeight="1">
      <c r="A120" s="105" t="s">
        <v>439</v>
      </c>
      <c r="B120" s="158" t="s">
        <v>8</v>
      </c>
      <c r="C120" s="159" t="str">
        <f>VLOOKUP(Table2[[#This Row],[Course Title]],Data!$A$1:$E$56,2,FALSE)</f>
        <v>A-493-0083</v>
      </c>
      <c r="D120" s="170">
        <v>3882</v>
      </c>
      <c r="E120" s="158" t="s">
        <v>251</v>
      </c>
      <c r="F120" s="187">
        <v>45337</v>
      </c>
      <c r="G120" s="161">
        <v>45338</v>
      </c>
      <c r="H120" s="168">
        <v>0.33333333333333331</v>
      </c>
      <c r="I120" s="168"/>
      <c r="J120" s="161"/>
      <c r="K120" s="161"/>
      <c r="L120" s="161"/>
      <c r="M120" s="161"/>
      <c r="N120" s="161"/>
      <c r="O120" s="158" t="s">
        <v>81</v>
      </c>
      <c r="P120" s="158" t="s">
        <v>84</v>
      </c>
      <c r="Q120" s="163" t="e">
        <v>#REF!</v>
      </c>
      <c r="R120" s="163" t="e">
        <v>#REF!</v>
      </c>
      <c r="S120" s="165"/>
      <c r="T120" s="105"/>
      <c r="U120" s="105"/>
      <c r="V120" s="27">
        <f>VLOOKUP(Table2[[#This Row],[Course Title]],Data!$A$1:$E$56,4,FALSE)</f>
        <v>30</v>
      </c>
      <c r="W120" s="27">
        <f>VLOOKUP(Table2[[#This Row],[Course Title]],Data!$A$1:$E$56,5,FALSE)</f>
        <v>1</v>
      </c>
      <c r="X120" s="27"/>
      <c r="Y120" s="162"/>
      <c r="Z120" s="27"/>
      <c r="AA120" s="27"/>
      <c r="AB120" s="27"/>
      <c r="AC120" s="104"/>
      <c r="AD120" s="118">
        <f ca="1">Table2[[#This Row],[End Date]]+2-TODAY()</f>
        <v>-67</v>
      </c>
      <c r="AE120" s="27">
        <f>IF(ISBLANK(#REF!),1,0)</f>
        <v>0</v>
      </c>
      <c r="AF120" s="27">
        <f ca="1">IF(Table2[[#This Row],[Start Date]]&gt;TODAY(),1,)</f>
        <v>0</v>
      </c>
    </row>
    <row r="121" spans="1:32">
      <c r="A121" t="s">
        <v>440</v>
      </c>
      <c r="B121" t="s">
        <v>20</v>
      </c>
      <c r="C121" t="s">
        <v>240</v>
      </c>
      <c r="D121" s="184" t="s">
        <v>241</v>
      </c>
      <c r="E121" s="180" t="s">
        <v>104</v>
      </c>
      <c r="F121" s="189">
        <v>45314</v>
      </c>
      <c r="G121" s="161">
        <v>45317</v>
      </c>
      <c r="H121" s="168">
        <v>0.33333333333333331</v>
      </c>
      <c r="O121" t="s">
        <v>94</v>
      </c>
      <c r="P121" s="117"/>
      <c r="Q121" s="117">
        <v>30</v>
      </c>
      <c r="R121">
        <v>4</v>
      </c>
      <c r="Y121">
        <v>11</v>
      </c>
      <c r="Z121">
        <v>1</v>
      </c>
      <c r="AA121">
        <v>1</v>
      </c>
    </row>
    <row r="122" spans="1:32">
      <c r="A122" t="s">
        <v>441</v>
      </c>
      <c r="B122" t="s">
        <v>20</v>
      </c>
      <c r="C122" t="s">
        <v>240</v>
      </c>
      <c r="D122" s="184" t="s">
        <v>241</v>
      </c>
      <c r="E122" t="s">
        <v>146</v>
      </c>
      <c r="F122" s="189">
        <v>45321</v>
      </c>
      <c r="G122" s="180">
        <v>45324</v>
      </c>
      <c r="H122" s="111">
        <v>800</v>
      </c>
      <c r="O122" t="s">
        <v>94</v>
      </c>
      <c r="Q122" s="117"/>
      <c r="R122" s="117"/>
    </row>
    <row r="123" spans="1:32" s="157" customFormat="1" ht="14.25" customHeight="1">
      <c r="A123" s="105" t="s">
        <v>442</v>
      </c>
      <c r="B123" s="158" t="s">
        <v>15</v>
      </c>
      <c r="C123" s="159" t="str">
        <f>VLOOKUP(Table2[[#This Row],[Course Title]],Data!$A$1:$E$56,2,FALSE)</f>
        <v>A-493-0083</v>
      </c>
      <c r="D123" s="170" t="s">
        <v>223</v>
      </c>
      <c r="E123" s="110" t="s">
        <v>140</v>
      </c>
      <c r="F123" s="187">
        <v>45334</v>
      </c>
      <c r="G123" s="161">
        <v>45338</v>
      </c>
      <c r="H123" s="164">
        <v>0.33333333333333331</v>
      </c>
      <c r="I123" s="164"/>
      <c r="J123" s="161"/>
      <c r="K123" s="161"/>
      <c r="L123" s="161"/>
      <c r="M123" s="161"/>
      <c r="N123" s="161"/>
      <c r="O123" s="158" t="s">
        <v>94</v>
      </c>
      <c r="P123" s="158"/>
      <c r="Q123" s="162" t="e">
        <v>#REF!</v>
      </c>
      <c r="R123" s="162" t="e">
        <v>#REF!</v>
      </c>
      <c r="S123" s="165"/>
      <c r="T123" s="105"/>
      <c r="U123" s="105"/>
      <c r="V123" s="27">
        <f>VLOOKUP(Table2[[#This Row],[Course Title]],Data!$A$1:$E$56,4,FALSE)</f>
        <v>30</v>
      </c>
      <c r="W123" s="27">
        <f>VLOOKUP(Table2[[#This Row],[Course Title]],Data!$A$1:$E$56,5,FALSE)</f>
        <v>1</v>
      </c>
      <c r="X123" s="27"/>
      <c r="Y123" s="162"/>
      <c r="Z123" s="27"/>
      <c r="AA123" s="27"/>
      <c r="AB123" s="27"/>
      <c r="AC123" s="104"/>
      <c r="AD123" s="118">
        <f ca="1">Table2[[#This Row],[End Date]]+2-TODAY()</f>
        <v>-63</v>
      </c>
      <c r="AE123" s="27">
        <f>IF(ISBLANK(#REF!),1,0)</f>
        <v>0</v>
      </c>
      <c r="AF123" s="27">
        <f ca="1">IF(Table2[[#This Row],[Start Date]]&gt;TODAY(),1,)</f>
        <v>0</v>
      </c>
    </row>
    <row r="124" spans="1:32">
      <c r="A124" t="s">
        <v>443</v>
      </c>
      <c r="B124" s="158" t="s">
        <v>27</v>
      </c>
      <c r="C124" t="s">
        <v>263</v>
      </c>
      <c r="D124" s="184" t="s">
        <v>264</v>
      </c>
      <c r="E124" t="s">
        <v>444</v>
      </c>
      <c r="F124" s="189">
        <v>45512</v>
      </c>
      <c r="G124" s="180">
        <v>45512</v>
      </c>
      <c r="H124" s="111">
        <v>800</v>
      </c>
      <c r="O124" t="s">
        <v>78</v>
      </c>
      <c r="Q124" s="117"/>
      <c r="R124" s="117"/>
    </row>
    <row r="125" spans="1:32">
      <c r="A125" t="s">
        <v>445</v>
      </c>
      <c r="B125" s="158" t="s">
        <v>35</v>
      </c>
      <c r="C125" s="159" t="str">
        <f>VLOOKUP(Table2[[#This Row],[Course Title]],Data!$A$1:$E$56,2,FALSE)</f>
        <v>A-493-0103</v>
      </c>
      <c r="D125" s="170" t="s">
        <v>297</v>
      </c>
      <c r="E125" s="158" t="s">
        <v>308</v>
      </c>
      <c r="F125" s="161">
        <v>45345</v>
      </c>
      <c r="G125" s="161">
        <v>45345</v>
      </c>
      <c r="H125" s="164">
        <v>0.33333333333333331</v>
      </c>
      <c r="O125" t="s">
        <v>78</v>
      </c>
      <c r="Q125" s="117"/>
      <c r="R125" s="117"/>
    </row>
    <row r="126" spans="1:32">
      <c r="A126" t="s">
        <v>446</v>
      </c>
      <c r="B126" s="158" t="s">
        <v>26</v>
      </c>
      <c r="C126" s="159" t="str">
        <f>VLOOKUP(Table2[[#This Row],[Course Title]],Data!$A$1:$E$56,2,FALSE)</f>
        <v xml:space="preserve">A-493-0075 </v>
      </c>
      <c r="D126" s="170" t="s">
        <v>260</v>
      </c>
      <c r="E126" s="158" t="s">
        <v>133</v>
      </c>
      <c r="F126" s="161">
        <v>45518</v>
      </c>
      <c r="G126" s="161">
        <v>45518</v>
      </c>
      <c r="H126" s="164">
        <v>0.33333333333333331</v>
      </c>
      <c r="I126" s="164"/>
      <c r="J126" s="161"/>
      <c r="K126" s="161"/>
      <c r="L126" s="161"/>
      <c r="M126" s="161"/>
      <c r="N126" s="161"/>
      <c r="O126" s="158" t="s">
        <v>78</v>
      </c>
      <c r="P126" s="158"/>
      <c r="Q126" s="27">
        <f>VLOOKUP(Table2[[#This Row],[Course Title]],Data!$A$1:$E$56,4,FALSE)</f>
        <v>30</v>
      </c>
      <c r="R126" s="27">
        <f>VLOOKUP(Table2[[#This Row],[Course Title]],Data!$A$1:$E$56,5,FALSE)</f>
        <v>4</v>
      </c>
      <c r="S126" s="27"/>
      <c r="T126" s="162"/>
      <c r="U126" s="27"/>
      <c r="V126" s="27"/>
      <c r="W126" s="159"/>
      <c r="X126" s="159"/>
      <c r="Y126" s="169">
        <f ca="1">Table2[[#This Row],[End Date]]+2-TODAY()</f>
        <v>-60</v>
      </c>
      <c r="Z126" s="27">
        <f>IF(ISBLANK(#REF!),1,0)</f>
        <v>0</v>
      </c>
      <c r="AA126" s="159">
        <f ca="1">IF(Table2[[#This Row],[Start Date]]&gt;TODAY(),1,)</f>
        <v>0</v>
      </c>
    </row>
    <row r="127" spans="1:32">
      <c r="A127" t="s">
        <v>447</v>
      </c>
      <c r="B127" s="158" t="s">
        <v>24</v>
      </c>
      <c r="C127" s="159" t="str">
        <f>VLOOKUP(Table2[[#This Row],[Course Title]],Data!$A$1:$E$56,2,FALSE)</f>
        <v>A-322-2604</v>
      </c>
      <c r="D127" s="170" t="s">
        <v>255</v>
      </c>
      <c r="E127" s="158" t="s">
        <v>155</v>
      </c>
      <c r="F127" s="115">
        <v>45316</v>
      </c>
      <c r="G127" s="115">
        <v>45316</v>
      </c>
      <c r="H127" s="160">
        <v>0.33333333333333331</v>
      </c>
      <c r="I127" s="160"/>
      <c r="J127" s="161"/>
      <c r="K127" s="161"/>
      <c r="L127" s="161"/>
      <c r="M127" s="161"/>
      <c r="N127" s="161"/>
      <c r="O127" s="158" t="s">
        <v>78</v>
      </c>
      <c r="P127" s="158"/>
      <c r="Q127" s="162" t="e">
        <v>#REF!</v>
      </c>
      <c r="R127" s="163" t="e">
        <v>#REF!</v>
      </c>
      <c r="S127" s="162"/>
      <c r="T127" s="105"/>
      <c r="U127" s="105"/>
      <c r="V127" s="27">
        <f>VLOOKUP(Table2[[#This Row],[Course Title]],Data!$A$1:$E$56,4,FALSE)</f>
        <v>45</v>
      </c>
      <c r="W127" s="27">
        <f>VLOOKUP(Table2[[#This Row],[Course Title]],Data!$A$1:$E$56,5,FALSE)</f>
        <v>5</v>
      </c>
      <c r="X127" s="27"/>
      <c r="Y127" s="162"/>
      <c r="Z127" s="27"/>
      <c r="AA127" s="27"/>
      <c r="AB127" s="27"/>
      <c r="AC127" s="104"/>
      <c r="AD127" s="118">
        <f ca="1">Table2[[#This Row],[End Date]]+2-TODAY()</f>
        <v>-59</v>
      </c>
      <c r="AE127" s="27">
        <f>IF(ISBLANK(#REF!),1,0)</f>
        <v>0</v>
      </c>
      <c r="AF127" s="27">
        <f ca="1">IF(Table2[[#This Row],[Start Date]]&gt;TODAY(),1,)</f>
        <v>0</v>
      </c>
    </row>
    <row r="128" spans="1:32" s="157" customFormat="1" ht="14.25" customHeight="1">
      <c r="A128" s="105" t="s">
        <v>448</v>
      </c>
      <c r="B128" s="158" t="s">
        <v>26</v>
      </c>
      <c r="C128" s="159" t="s">
        <v>259</v>
      </c>
      <c r="D128" s="170" t="s">
        <v>449</v>
      </c>
      <c r="E128" s="110" t="s">
        <v>166</v>
      </c>
      <c r="F128" s="161">
        <v>45315</v>
      </c>
      <c r="G128" s="161">
        <v>45315</v>
      </c>
      <c r="H128" s="164">
        <v>0.33333333333333331</v>
      </c>
      <c r="I128" s="164"/>
      <c r="J128" s="161"/>
      <c r="K128" s="161"/>
      <c r="L128" s="161"/>
      <c r="M128" s="161"/>
      <c r="N128" s="161"/>
      <c r="O128" s="158" t="s">
        <v>78</v>
      </c>
      <c r="P128" s="158"/>
      <c r="Q128" s="162" t="e">
        <v>#REF!</v>
      </c>
      <c r="R128" s="163" t="e">
        <v>#REF!</v>
      </c>
      <c r="S128" s="162"/>
      <c r="T128" s="105"/>
      <c r="U128" s="105"/>
      <c r="V128" s="27">
        <v>25</v>
      </c>
      <c r="W128" s="27">
        <f>VLOOKUP(Table2[[#This Row],[Course Title]],Data!$A$1:$E$56,5,FALSE)</f>
        <v>5</v>
      </c>
      <c r="X128" s="27"/>
      <c r="Y128" s="162"/>
      <c r="Z128" s="27"/>
      <c r="AA128" s="27"/>
      <c r="AB128" s="27"/>
      <c r="AC128" s="104"/>
      <c r="AD128" s="118">
        <f ca="1">Table2[[#This Row],[End Date]]+2-TODAY()</f>
        <v>-59</v>
      </c>
      <c r="AE128" s="27">
        <f>IF(ISBLANK(#REF!),1,0)</f>
        <v>0</v>
      </c>
      <c r="AF128" s="27">
        <f ca="1">IF(Table2[[#This Row],[Start Date]]&gt;TODAY(),1,)</f>
        <v>0</v>
      </c>
    </row>
    <row r="129" spans="1:32" s="156" customFormat="1">
      <c r="A129" s="105" t="s">
        <v>450</v>
      </c>
      <c r="B129" s="158" t="s">
        <v>236</v>
      </c>
      <c r="C129" s="159" t="str">
        <f>VLOOKUP(Table2[[#This Row],[Course Title]],Data!$A$1:$E$56,2,FALSE)</f>
        <v>A-493-0013</v>
      </c>
      <c r="D129" s="170">
        <f>VLOOKUP(Table2[[#This Row],[Course Title]],Data!$A$1:$E$56,3,FALSE)</f>
        <v>3683</v>
      </c>
      <c r="E129" s="158" t="s">
        <v>302</v>
      </c>
      <c r="F129" s="161">
        <v>45432</v>
      </c>
      <c r="G129" s="161">
        <v>45436</v>
      </c>
      <c r="H129" s="164">
        <v>0.33333333333333331</v>
      </c>
      <c r="I129" s="164"/>
      <c r="J129" s="161"/>
      <c r="K129" s="161"/>
      <c r="L129" s="161"/>
      <c r="M129" s="161"/>
      <c r="N129" s="161"/>
      <c r="O129" s="158" t="s">
        <v>94</v>
      </c>
      <c r="P129" s="158"/>
      <c r="Q129" s="163" t="e">
        <v>#REF!</v>
      </c>
      <c r="R129" s="163" t="e">
        <v>#REF!</v>
      </c>
      <c r="S129" s="165"/>
      <c r="T129" s="105"/>
      <c r="U129" s="105"/>
      <c r="V129" s="27">
        <f>VLOOKUP(Table2[[#This Row],[Course Title]],Data!$A$1:$E$56,4,FALSE)</f>
        <v>40</v>
      </c>
      <c r="W129" s="27">
        <f>VLOOKUP(Table2[[#This Row],[Course Title]],Data!$A$1:$E$56,5,FALSE)</f>
        <v>5</v>
      </c>
      <c r="X129" s="27"/>
      <c r="Y129" s="162"/>
      <c r="Z129" s="27"/>
      <c r="AA129" s="27"/>
      <c r="AB129" s="159"/>
      <c r="AC129" s="104"/>
      <c r="AD129" s="118">
        <f ca="1">Table2[[#This Row],[End Date]]+2-TODAY()</f>
        <v>-60</v>
      </c>
      <c r="AE129" s="27">
        <f>IF(ISBLANK(#REF!),1,0)</f>
        <v>0</v>
      </c>
      <c r="AF129" s="27">
        <f ca="1">IF(Table2[[#This Row],[Start Date]]&gt;TODAY(),1,)</f>
        <v>0</v>
      </c>
    </row>
    <row r="130" spans="1:32" s="156" customFormat="1">
      <c r="A130" s="105" t="s">
        <v>451</v>
      </c>
      <c r="B130" s="158" t="s">
        <v>17</v>
      </c>
      <c r="C130" s="159" t="s">
        <v>232</v>
      </c>
      <c r="D130" s="170">
        <v>3682</v>
      </c>
      <c r="E130" s="158" t="s">
        <v>121</v>
      </c>
      <c r="F130" s="161">
        <v>45425</v>
      </c>
      <c r="G130" s="161">
        <v>45429</v>
      </c>
      <c r="H130" s="164">
        <v>0.33333333333333331</v>
      </c>
      <c r="I130" s="164"/>
      <c r="J130" s="161"/>
      <c r="K130" s="161"/>
      <c r="L130" s="161"/>
      <c r="M130" s="161"/>
      <c r="N130" s="161"/>
      <c r="O130" s="158" t="s">
        <v>78</v>
      </c>
      <c r="P130" s="158"/>
      <c r="Q130" s="163"/>
      <c r="R130" s="163"/>
      <c r="S130" s="165"/>
      <c r="T130" s="105"/>
      <c r="U130" s="105"/>
      <c r="V130" s="27"/>
      <c r="W130" s="27"/>
      <c r="X130" s="27"/>
      <c r="Y130" s="162"/>
      <c r="Z130" s="27"/>
      <c r="AA130" s="27"/>
      <c r="AB130" s="159"/>
      <c r="AC130" s="104"/>
      <c r="AD130" s="118"/>
      <c r="AE130" s="27"/>
      <c r="AF130" s="27"/>
    </row>
    <row r="131" spans="1:32">
      <c r="A131" t="s">
        <v>452</v>
      </c>
      <c r="B131" t="s">
        <v>20</v>
      </c>
      <c r="C131" t="s">
        <v>240</v>
      </c>
      <c r="D131" t="s">
        <v>241</v>
      </c>
      <c r="E131" t="s">
        <v>147</v>
      </c>
      <c r="F131" s="189">
        <v>45356</v>
      </c>
      <c r="G131" s="180">
        <v>45359</v>
      </c>
      <c r="H131" s="111">
        <v>0.33333333333333331</v>
      </c>
      <c r="O131" t="s">
        <v>94</v>
      </c>
      <c r="Q131" s="117" t="e">
        <v>#REF!</v>
      </c>
      <c r="R131" s="117" t="e">
        <v>#REF!</v>
      </c>
      <c r="V131">
        <v>30</v>
      </c>
      <c r="W131">
        <v>4</v>
      </c>
      <c r="AD131">
        <v>-12</v>
      </c>
      <c r="AE131">
        <v>1</v>
      </c>
      <c r="AF131">
        <v>0</v>
      </c>
    </row>
    <row r="132" spans="1:32">
      <c r="A132" t="s">
        <v>453</v>
      </c>
      <c r="B132" s="158" t="s">
        <v>26</v>
      </c>
      <c r="C132" s="159" t="str">
        <f>VLOOKUP(Table2[[#This Row],[Course Title]],Data!$A$1:$E$56,2,FALSE)</f>
        <v>A-493-0335</v>
      </c>
      <c r="D132" s="170" t="s">
        <v>260</v>
      </c>
      <c r="E132" s="110" t="s">
        <v>158</v>
      </c>
      <c r="F132" s="161">
        <v>45467</v>
      </c>
      <c r="G132" s="161">
        <v>45467</v>
      </c>
      <c r="H132" s="164">
        <v>0.33333333333333331</v>
      </c>
    </row>
    <row r="133" spans="1:32">
      <c r="A133" t="s">
        <v>453</v>
      </c>
      <c r="B133" s="158" t="s">
        <v>26</v>
      </c>
      <c r="C133" s="159" t="str">
        <f>VLOOKUP(Table2[[#This Row],[Course Title]],Data!$A$1:$E$56,2,FALSE)</f>
        <v>A-493-0073</v>
      </c>
      <c r="D133" s="170" t="s">
        <v>260</v>
      </c>
      <c r="E133" s="110" t="s">
        <v>160</v>
      </c>
      <c r="F133" s="161">
        <v>45537</v>
      </c>
      <c r="G133" s="161">
        <v>45537</v>
      </c>
      <c r="H133" s="164">
        <v>0.33333333333333331</v>
      </c>
    </row>
    <row r="134" spans="1:32">
      <c r="A134" t="s">
        <v>453</v>
      </c>
      <c r="B134" s="158" t="s">
        <v>27</v>
      </c>
      <c r="C134" s="159" t="str">
        <f>VLOOKUP(Table2[[#This Row],[Course Title]],Data!$A$1:$E$56,2,FALSE)</f>
        <v>A-493-0092</v>
      </c>
      <c r="D134" s="170" t="s">
        <v>264</v>
      </c>
      <c r="E134" s="158" t="s">
        <v>135</v>
      </c>
      <c r="F134" s="161">
        <v>45461</v>
      </c>
      <c r="G134" s="161">
        <v>45461</v>
      </c>
      <c r="H134" s="164">
        <v>0.33333333333333331</v>
      </c>
    </row>
    <row r="135" spans="1:32">
      <c r="A135" t="s">
        <v>453</v>
      </c>
      <c r="B135" s="158" t="s">
        <v>27</v>
      </c>
      <c r="C135" s="159" t="str">
        <f>VLOOKUP(Table2[[#This Row],[Course Title]],Data!$A$1:$E$56,2,FALSE)</f>
        <v>A-493-0070</v>
      </c>
      <c r="D135" s="170" t="s">
        <v>264</v>
      </c>
      <c r="E135" s="110" t="s">
        <v>158</v>
      </c>
      <c r="F135" s="161">
        <v>45468</v>
      </c>
      <c r="G135" s="161">
        <v>45468</v>
      </c>
      <c r="H135" s="164">
        <v>0.33333333333333331</v>
      </c>
    </row>
    <row r="136" spans="1:32">
      <c r="A136" t="s">
        <v>453</v>
      </c>
      <c r="B136" s="158" t="s">
        <v>35</v>
      </c>
      <c r="C136" s="159" t="str">
        <f>VLOOKUP(Table2[[#This Row],[Course Title]],Data!$A$1:$E$56,2,FALSE)</f>
        <v>A-493-0103</v>
      </c>
      <c r="D136" s="170" t="s">
        <v>297</v>
      </c>
      <c r="E136" s="110" t="s">
        <v>158</v>
      </c>
      <c r="F136" s="161">
        <v>45469</v>
      </c>
      <c r="G136" s="161">
        <v>45469</v>
      </c>
    </row>
    <row r="137" spans="1:32">
      <c r="A137" t="s">
        <v>453</v>
      </c>
      <c r="B137" s="158" t="s">
        <v>35</v>
      </c>
      <c r="C137" s="159" t="str">
        <f>VLOOKUP(Table2[[#This Row],[Course Title]],Data!$A$1:$E$56,2,FALSE)</f>
        <v>A-322-2604</v>
      </c>
      <c r="D137" s="170" t="s">
        <v>297</v>
      </c>
      <c r="E137" s="110" t="s">
        <v>160</v>
      </c>
      <c r="F137" s="161">
        <v>45538</v>
      </c>
      <c r="G137" s="161">
        <v>45538</v>
      </c>
    </row>
    <row r="138" spans="1:32">
      <c r="A138" t="s">
        <v>454</v>
      </c>
      <c r="B138" s="191" t="s">
        <v>276</v>
      </c>
      <c r="C138" s="192" t="str">
        <f>VLOOKUP(Table2[[#This Row],[Course Title]],Data!$A$1:$E$56,2,FALSE)</f>
        <v>A-493-2300</v>
      </c>
      <c r="D138" s="192" t="str">
        <f>VLOOKUP(Table2[[#This Row],[Course Title]],Data!$A$1:$E$56,3,FALSE)</f>
        <v>993F</v>
      </c>
      <c r="E138" s="191" t="s">
        <v>116</v>
      </c>
      <c r="F138" s="193">
        <v>45390</v>
      </c>
      <c r="G138" s="193">
        <v>45394</v>
      </c>
    </row>
  </sheetData>
  <protectedRanges>
    <protectedRange algorithmName="SHA-512" hashValue="n6K25g9uzAcpntxjqTQaPVdKX1eij75CLB1gBuUNBybVL5B3VaxVW/Tcen54TXijIel0fCN9KO3xZiLZCJMSZw==" saltValue="89UdTK4UUElaUoKBccfOYw==" spinCount="100000" sqref="C1:D1" name="CIN CDP"/>
    <protectedRange algorithmName="SHA-512" hashValue="n6K25g9uzAcpntxjqTQaPVdKX1eij75CLB1gBuUNBybVL5B3VaxVW/Tcen54TXijIel0fCN9KO3xZiLZCJMSZw==" saltValue="89UdTK4UUElaUoKBccfOYw==" spinCount="100000" sqref="C14:D14" name="CIN CDP_1_1"/>
    <protectedRange algorithmName="SHA-512" hashValue="n6K25g9uzAcpntxjqTQaPVdKX1eij75CLB1gBuUNBybVL5B3VaxVW/Tcen54TXijIel0fCN9KO3xZiLZCJMSZw==" saltValue="89UdTK4UUElaUoKBccfOYw==" spinCount="100000" sqref="C15:D15" name="CIN CDP_1_2"/>
    <protectedRange algorithmName="SHA-512" hashValue="n6K25g9uzAcpntxjqTQaPVdKX1eij75CLB1gBuUNBybVL5B3VaxVW/Tcen54TXijIel0fCN9KO3xZiLZCJMSZw==" saltValue="89UdTK4UUElaUoKBccfOYw==" spinCount="100000" sqref="C16:D16" name="CIN CDP_1"/>
    <protectedRange algorithmName="SHA-512" hashValue="n6K25g9uzAcpntxjqTQaPVdKX1eij75CLB1gBuUNBybVL5B3VaxVW/Tcen54TXijIel0fCN9KO3xZiLZCJMSZw==" saltValue="89UdTK4UUElaUoKBccfOYw==" spinCount="100000" sqref="C17:D17" name="CIN CDP_1_3"/>
    <protectedRange algorithmName="SHA-512" hashValue="n6K25g9uzAcpntxjqTQaPVdKX1eij75CLB1gBuUNBybVL5B3VaxVW/Tcen54TXijIel0fCN9KO3xZiLZCJMSZw==" saltValue="89UdTK4UUElaUoKBccfOYw==" spinCount="100000" sqref="C18:D18" name="CIN CDP_1_4"/>
    <protectedRange algorithmName="SHA-512" hashValue="n6K25g9uzAcpntxjqTQaPVdKX1eij75CLB1gBuUNBybVL5B3VaxVW/Tcen54TXijIel0fCN9KO3xZiLZCJMSZw==" saltValue="89UdTK4UUElaUoKBccfOYw==" spinCount="100000" sqref="C19:D19" name="CIN CDP_1_5"/>
    <protectedRange algorithmName="SHA-512" hashValue="n6K25g9uzAcpntxjqTQaPVdKX1eij75CLB1gBuUNBybVL5B3VaxVW/Tcen54TXijIel0fCN9KO3xZiLZCJMSZw==" saltValue="89UdTK4UUElaUoKBccfOYw==" spinCount="100000" sqref="C20:D20" name="CIN CDP_1_6"/>
    <protectedRange algorithmName="SHA-512" hashValue="n6K25g9uzAcpntxjqTQaPVdKX1eij75CLB1gBuUNBybVL5B3VaxVW/Tcen54TXijIel0fCN9KO3xZiLZCJMSZw==" saltValue="89UdTK4UUElaUoKBccfOYw==" spinCount="100000" sqref="C21:D21" name="CIN CDP_1_7"/>
    <protectedRange algorithmName="SHA-512" hashValue="n6K25g9uzAcpntxjqTQaPVdKX1eij75CLB1gBuUNBybVL5B3VaxVW/Tcen54TXijIel0fCN9KO3xZiLZCJMSZw==" saltValue="89UdTK4UUElaUoKBccfOYw==" spinCount="100000" sqref="C22:D22" name="CIN CDP_1_8"/>
    <protectedRange algorithmName="SHA-512" hashValue="n6K25g9uzAcpntxjqTQaPVdKX1eij75CLB1gBuUNBybVL5B3VaxVW/Tcen54TXijIel0fCN9KO3xZiLZCJMSZw==" saltValue="89UdTK4UUElaUoKBccfOYw==" spinCount="100000" sqref="C23:D23" name="CIN CDP_1_9"/>
    <protectedRange algorithmName="SHA-512" hashValue="n6K25g9uzAcpntxjqTQaPVdKX1eij75CLB1gBuUNBybVL5B3VaxVW/Tcen54TXijIel0fCN9KO3xZiLZCJMSZw==" saltValue="89UdTK4UUElaUoKBccfOYw==" spinCount="100000" sqref="C24:D24" name="CIN CDP_1_10"/>
    <protectedRange algorithmName="SHA-512" hashValue="n6K25g9uzAcpntxjqTQaPVdKX1eij75CLB1gBuUNBybVL5B3VaxVW/Tcen54TXijIel0fCN9KO3xZiLZCJMSZw==" saltValue="89UdTK4UUElaUoKBccfOYw==" spinCount="100000" sqref="C25:D25" name="CIN CDP_1_11"/>
    <protectedRange algorithmName="SHA-512" hashValue="n6K25g9uzAcpntxjqTQaPVdKX1eij75CLB1gBuUNBybVL5B3VaxVW/Tcen54TXijIel0fCN9KO3xZiLZCJMSZw==" saltValue="89UdTK4UUElaUoKBccfOYw==" spinCount="100000" sqref="C26:D26" name="CIN CDP_1_12"/>
    <protectedRange algorithmName="SHA-512" hashValue="n6K25g9uzAcpntxjqTQaPVdKX1eij75CLB1gBuUNBybVL5B3VaxVW/Tcen54TXijIel0fCN9KO3xZiLZCJMSZw==" saltValue="89UdTK4UUElaUoKBccfOYw==" spinCount="100000" sqref="C27:D27" name="CIN CDP_1_13"/>
    <protectedRange algorithmName="SHA-512" hashValue="n6K25g9uzAcpntxjqTQaPVdKX1eij75CLB1gBuUNBybVL5B3VaxVW/Tcen54TXijIel0fCN9KO3xZiLZCJMSZw==" saltValue="89UdTK4UUElaUoKBccfOYw==" spinCount="100000" sqref="C28:D28" name="CIN CDP_1_14"/>
    <protectedRange algorithmName="SHA-512" hashValue="n6K25g9uzAcpntxjqTQaPVdKX1eij75CLB1gBuUNBybVL5B3VaxVW/Tcen54TXijIel0fCN9KO3xZiLZCJMSZw==" saltValue="89UdTK4UUElaUoKBccfOYw==" spinCount="100000" sqref="C29:D29" name="CIN CDP_1_15"/>
    <protectedRange algorithmName="SHA-512" hashValue="n6K25g9uzAcpntxjqTQaPVdKX1eij75CLB1gBuUNBybVL5B3VaxVW/Tcen54TXijIel0fCN9KO3xZiLZCJMSZw==" saltValue="89UdTK4UUElaUoKBccfOYw==" spinCount="100000" sqref="C30:D30" name="CIN CDP_1_16"/>
    <protectedRange algorithmName="SHA-512" hashValue="n6K25g9uzAcpntxjqTQaPVdKX1eij75CLB1gBuUNBybVL5B3VaxVW/Tcen54TXijIel0fCN9KO3xZiLZCJMSZw==" saltValue="89UdTK4UUElaUoKBccfOYw==" spinCount="100000" sqref="C31:D31" name="CIN CDP_1_17"/>
    <protectedRange algorithmName="SHA-512" hashValue="n6K25g9uzAcpntxjqTQaPVdKX1eij75CLB1gBuUNBybVL5B3VaxVW/Tcen54TXijIel0fCN9KO3xZiLZCJMSZw==" saltValue="89UdTK4UUElaUoKBccfOYw==" spinCount="100000" sqref="C32:D32" name="CIN CDP_1_18"/>
    <protectedRange algorithmName="SHA-512" hashValue="n6K25g9uzAcpntxjqTQaPVdKX1eij75CLB1gBuUNBybVL5B3VaxVW/Tcen54TXijIel0fCN9KO3xZiLZCJMSZw==" saltValue="89UdTK4UUElaUoKBccfOYw==" spinCount="100000" sqref="C33:D33" name="CIN CDP_1_19"/>
    <protectedRange algorithmName="SHA-512" hashValue="n6K25g9uzAcpntxjqTQaPVdKX1eij75CLB1gBuUNBybVL5B3VaxVW/Tcen54TXijIel0fCN9KO3xZiLZCJMSZw==" saltValue="89UdTK4UUElaUoKBccfOYw==" spinCount="100000" sqref="C34:D57" name="CIN CDP_1_20"/>
    <protectedRange algorithmName="SHA-512" hashValue="n6K25g9uzAcpntxjqTQaPVdKX1eij75CLB1gBuUNBybVL5B3VaxVW/Tcen54TXijIel0fCN9KO3xZiLZCJMSZw==" saltValue="89UdTK4UUElaUoKBccfOYw==" spinCount="100000" sqref="C58:D65" name="CIN CDP_1_49"/>
    <protectedRange algorithmName="SHA-512" hashValue="n6K25g9uzAcpntxjqTQaPVdKX1eij75CLB1gBuUNBybVL5B3VaxVW/Tcen54TXijIel0fCN9KO3xZiLZCJMSZw==" saltValue="89UdTK4UUElaUoKBccfOYw==" spinCount="100000" sqref="C66:D66" name="CIN CDP_1_58"/>
    <protectedRange algorithmName="SHA-512" hashValue="n6K25g9uzAcpntxjqTQaPVdKX1eij75CLB1gBuUNBybVL5B3VaxVW/Tcen54TXijIel0fCN9KO3xZiLZCJMSZw==" saltValue="89UdTK4UUElaUoKBccfOYw==" spinCount="100000" sqref="C68:D68" name="CIN CDP_1_59"/>
    <protectedRange algorithmName="SHA-512" hashValue="n6K25g9uzAcpntxjqTQaPVdKX1eij75CLB1gBuUNBybVL5B3VaxVW/Tcen54TXijIel0fCN9KO3xZiLZCJMSZw==" saltValue="89UdTK4UUElaUoKBccfOYw==" spinCount="100000" sqref="C69:D70" name="CIN CDP_1_60"/>
    <protectedRange algorithmName="SHA-512" hashValue="n6K25g9uzAcpntxjqTQaPVdKX1eij75CLB1gBuUNBybVL5B3VaxVW/Tcen54TXijIel0fCN9KO3xZiLZCJMSZw==" saltValue="89UdTK4UUElaUoKBccfOYw==" spinCount="100000" sqref="C71:D71" name="CIN CDP_1_62"/>
    <protectedRange algorithmName="SHA-512" hashValue="n6K25g9uzAcpntxjqTQaPVdKX1eij75CLB1gBuUNBybVL5B3VaxVW/Tcen54TXijIel0fCN9KO3xZiLZCJMSZw==" saltValue="89UdTK4UUElaUoKBccfOYw==" spinCount="100000" sqref="C72:D72" name="CIN CDP_1_63"/>
    <protectedRange algorithmName="SHA-512" hashValue="n6K25g9uzAcpntxjqTQaPVdKX1eij75CLB1gBuUNBybVL5B3VaxVW/Tcen54TXijIel0fCN9KO3xZiLZCJMSZw==" saltValue="89UdTK4UUElaUoKBccfOYw==" spinCount="100000" sqref="C73:D77" name="CIN CDP_1_69"/>
    <protectedRange algorithmName="SHA-512" hashValue="n6K25g9uzAcpntxjqTQaPVdKX1eij75CLB1gBuUNBybVL5B3VaxVW/Tcen54TXijIel0fCN9KO3xZiLZCJMSZw==" saltValue="89UdTK4UUElaUoKBccfOYw==" spinCount="100000" sqref="C78:D78" name="CIN CDP_1_71"/>
    <protectedRange algorithmName="SHA-512" hashValue="n6K25g9uzAcpntxjqTQaPVdKX1eij75CLB1gBuUNBybVL5B3VaxVW/Tcen54TXijIel0fCN9KO3xZiLZCJMSZw==" saltValue="89UdTK4UUElaUoKBccfOYw==" spinCount="100000" sqref="C79:D79" name="CIN CDP_1_72"/>
    <protectedRange algorithmName="SHA-512" hashValue="n6K25g9uzAcpntxjqTQaPVdKX1eij75CLB1gBuUNBybVL5B3VaxVW/Tcen54TXijIel0fCN9KO3xZiLZCJMSZw==" saltValue="89UdTK4UUElaUoKBccfOYw==" spinCount="100000" sqref="C80:D80" name="CIN CDP_1_73"/>
    <protectedRange algorithmName="SHA-512" hashValue="n6K25g9uzAcpntxjqTQaPVdKX1eij75CLB1gBuUNBybVL5B3VaxVW/Tcen54TXijIel0fCN9KO3xZiLZCJMSZw==" saltValue="89UdTK4UUElaUoKBccfOYw==" spinCount="100000" sqref="C81:D81" name="CIN CDP_1_75"/>
    <protectedRange algorithmName="SHA-512" hashValue="n6K25g9uzAcpntxjqTQaPVdKX1eij75CLB1gBuUNBybVL5B3VaxVW/Tcen54TXijIel0fCN9KO3xZiLZCJMSZw==" saltValue="89UdTK4UUElaUoKBccfOYw==" spinCount="100000" sqref="C82:D82" name="CIN CDP_1_76"/>
    <protectedRange algorithmName="SHA-512" hashValue="n6K25g9uzAcpntxjqTQaPVdKX1eij75CLB1gBuUNBybVL5B3VaxVW/Tcen54TXijIel0fCN9KO3xZiLZCJMSZw==" saltValue="89UdTK4UUElaUoKBccfOYw==" spinCount="100000" sqref="C83:D83" name="CIN CDP_1_78"/>
    <protectedRange algorithmName="SHA-512" hashValue="n6K25g9uzAcpntxjqTQaPVdKX1eij75CLB1gBuUNBybVL5B3VaxVW/Tcen54TXijIel0fCN9KO3xZiLZCJMSZw==" saltValue="89UdTK4UUElaUoKBccfOYw==" spinCount="100000" sqref="C84:D84" name="CIN CDP_1_79"/>
    <protectedRange algorithmName="SHA-512" hashValue="n6K25g9uzAcpntxjqTQaPVdKX1eij75CLB1gBuUNBybVL5B3VaxVW/Tcen54TXijIel0fCN9KO3xZiLZCJMSZw==" saltValue="89UdTK4UUElaUoKBccfOYw==" spinCount="100000" sqref="C85:D85" name="CIN CDP_1_80"/>
    <protectedRange algorithmName="SHA-512" hashValue="n6K25g9uzAcpntxjqTQaPVdKX1eij75CLB1gBuUNBybVL5B3VaxVW/Tcen54TXijIel0fCN9KO3xZiLZCJMSZw==" saltValue="89UdTK4UUElaUoKBccfOYw==" spinCount="100000" sqref="C86:D86" name="CIN CDP_1_81"/>
    <protectedRange algorithmName="SHA-512" hashValue="n6K25g9uzAcpntxjqTQaPVdKX1eij75CLB1gBuUNBybVL5B3VaxVW/Tcen54TXijIel0fCN9KO3xZiLZCJMSZw==" saltValue="89UdTK4UUElaUoKBccfOYw==" spinCount="100000" sqref="C87:D87" name="CIN CDP_1_83"/>
    <protectedRange algorithmName="SHA-512" hashValue="n6K25g9uzAcpntxjqTQaPVdKX1eij75CLB1gBuUNBybVL5B3VaxVW/Tcen54TXijIel0fCN9KO3xZiLZCJMSZw==" saltValue="89UdTK4UUElaUoKBccfOYw==" spinCount="100000" sqref="C88:D88" name="CIN CDP_1_88"/>
    <protectedRange algorithmName="SHA-512" hashValue="n6K25g9uzAcpntxjqTQaPVdKX1eij75CLB1gBuUNBybVL5B3VaxVW/Tcen54TXijIel0fCN9KO3xZiLZCJMSZw==" saltValue="89UdTK4UUElaUoKBccfOYw==" spinCount="100000" sqref="C89:D90" name="CIN CDP_1_90"/>
    <protectedRange algorithmName="SHA-512" hashValue="n6K25g9uzAcpntxjqTQaPVdKX1eij75CLB1gBuUNBybVL5B3VaxVW/Tcen54TXijIel0fCN9KO3xZiLZCJMSZw==" saltValue="89UdTK4UUElaUoKBccfOYw==" spinCount="100000" sqref="C91:D92" name="CIN CDP_1_91"/>
    <protectedRange algorithmName="SHA-512" hashValue="n6K25g9uzAcpntxjqTQaPVdKX1eij75CLB1gBuUNBybVL5B3VaxVW/Tcen54TXijIel0fCN9KO3xZiLZCJMSZw==" saltValue="89UdTK4UUElaUoKBccfOYw==" spinCount="100000" sqref="C93:D93" name="CIN CDP_1_92"/>
    <protectedRange algorithmName="SHA-512" hashValue="n6K25g9uzAcpntxjqTQaPVdKX1eij75CLB1gBuUNBybVL5B3VaxVW/Tcen54TXijIel0fCN9KO3xZiLZCJMSZw==" saltValue="89UdTK4UUElaUoKBccfOYw==" spinCount="100000" sqref="C94:D94" name="CIN CDP_1_93"/>
    <protectedRange algorithmName="SHA-512" hashValue="n6K25g9uzAcpntxjqTQaPVdKX1eij75CLB1gBuUNBybVL5B3VaxVW/Tcen54TXijIel0fCN9KO3xZiLZCJMSZw==" saltValue="89UdTK4UUElaUoKBccfOYw==" spinCount="100000" sqref="C95:D96" name="CIN CDP_1_94"/>
    <protectedRange algorithmName="SHA-512" hashValue="n6K25g9uzAcpntxjqTQaPVdKX1eij75CLB1gBuUNBybVL5B3VaxVW/Tcen54TXijIel0fCN9KO3xZiLZCJMSZw==" saltValue="89UdTK4UUElaUoKBccfOYw==" spinCount="100000" sqref="C97:D97" name="CIN CDP_1_95"/>
    <protectedRange algorithmName="SHA-512" hashValue="n6K25g9uzAcpntxjqTQaPVdKX1eij75CLB1gBuUNBybVL5B3VaxVW/Tcen54TXijIel0fCN9KO3xZiLZCJMSZw==" saltValue="89UdTK4UUElaUoKBccfOYw==" spinCount="100000" sqref="C98:D100" name="CIN CDP_1_97"/>
    <protectedRange algorithmName="SHA-512" hashValue="n6K25g9uzAcpntxjqTQaPVdKX1eij75CLB1gBuUNBybVL5B3VaxVW/Tcen54TXijIel0fCN9KO3xZiLZCJMSZw==" saltValue="89UdTK4UUElaUoKBccfOYw==" spinCount="100000" sqref="C101:D101" name="CIN CDP_1_98"/>
    <protectedRange algorithmName="SHA-512" hashValue="n6K25g9uzAcpntxjqTQaPVdKX1eij75CLB1gBuUNBybVL5B3VaxVW/Tcen54TXijIel0fCN9KO3xZiLZCJMSZw==" saltValue="89UdTK4UUElaUoKBccfOYw==" spinCount="100000" sqref="C102:D103" name="CIN CDP_1_99"/>
    <protectedRange algorithmName="SHA-512" hashValue="n6K25g9uzAcpntxjqTQaPVdKX1eij75CLB1gBuUNBybVL5B3VaxVW/Tcen54TXijIel0fCN9KO3xZiLZCJMSZw==" saltValue="89UdTK4UUElaUoKBccfOYw==" spinCount="100000" sqref="C112:D112" name="CIN CDP_1_21"/>
    <protectedRange algorithmName="SHA-512" hashValue="n6K25g9uzAcpntxjqTQaPVdKX1eij75CLB1gBuUNBybVL5B3VaxVW/Tcen54TXijIel0fCN9KO3xZiLZCJMSZw==" saltValue="89UdTK4UUElaUoKBccfOYw==" spinCount="100000" sqref="C118:D118" name="CIN CDP_1_1_1"/>
    <protectedRange algorithmName="SHA-512" hashValue="n6K25g9uzAcpntxjqTQaPVdKX1eij75CLB1gBuUNBybVL5B3VaxVW/Tcen54TXijIel0fCN9KO3xZiLZCJMSZw==" saltValue="89UdTK4UUElaUoKBccfOYw==" spinCount="100000" sqref="C119:D119" name="CIN CDP_1_22"/>
    <protectedRange algorithmName="SHA-512" hashValue="n6K25g9uzAcpntxjqTQaPVdKX1eij75CLB1gBuUNBybVL5B3VaxVW/Tcen54TXijIel0fCN9KO3xZiLZCJMSZw==" saltValue="89UdTK4UUElaUoKBccfOYw==" spinCount="100000" sqref="C120:D120" name="CIN CDP_1_23"/>
    <protectedRange algorithmName="SHA-512" hashValue="n6K25g9uzAcpntxjqTQaPVdKX1eij75CLB1gBuUNBybVL5B3VaxVW/Tcen54TXijIel0fCN9KO3xZiLZCJMSZw==" saltValue="89UdTK4UUElaUoKBccfOYw==" spinCount="100000" sqref="C123" name="CIN CDP_1_25"/>
    <protectedRange algorithmName="SHA-512" hashValue="n6K25g9uzAcpntxjqTQaPVdKX1eij75CLB1gBuUNBybVL5B3VaxVW/Tcen54TXijIel0fCN9KO3xZiLZCJMSZw==" saltValue="89UdTK4UUElaUoKBccfOYw==" spinCount="100000" sqref="D123" name="CIN CDP_1_26"/>
    <protectedRange algorithmName="SHA-512" hashValue="n6K25g9uzAcpntxjqTQaPVdKX1eij75CLB1gBuUNBybVL5B3VaxVW/Tcen54TXijIel0fCN9KO3xZiLZCJMSZw==" saltValue="89UdTK4UUElaUoKBccfOYw==" spinCount="100000" sqref="C125:D125" name="CIN CDP_1_24"/>
    <protectedRange algorithmName="SHA-512" hashValue="n6K25g9uzAcpntxjqTQaPVdKX1eij75CLB1gBuUNBybVL5B3VaxVW/Tcen54TXijIel0fCN9KO3xZiLZCJMSZw==" saltValue="89UdTK4UUElaUoKBccfOYw==" spinCount="100000" sqref="C126:D126" name="CIN CDP_1_27"/>
    <protectedRange algorithmName="SHA-512" hashValue="n6K25g9uzAcpntxjqTQaPVdKX1eij75CLB1gBuUNBybVL5B3VaxVW/Tcen54TXijIel0fCN9KO3xZiLZCJMSZw==" saltValue="89UdTK4UUElaUoKBccfOYw==" spinCount="100000" sqref="C127:D127" name="CIN CDP_1_28"/>
    <protectedRange algorithmName="SHA-512" hashValue="n6K25g9uzAcpntxjqTQaPVdKX1eij75CLB1gBuUNBybVL5B3VaxVW/Tcen54TXijIel0fCN9KO3xZiLZCJMSZw==" saltValue="89UdTK4UUElaUoKBccfOYw==" spinCount="100000" sqref="C128:D128" name="CIN CDP_1_29"/>
    <protectedRange algorithmName="SHA-512" hashValue="n6K25g9uzAcpntxjqTQaPVdKX1eij75CLB1gBuUNBybVL5B3VaxVW/Tcen54TXijIel0fCN9KO3xZiLZCJMSZw==" saltValue="89UdTK4UUElaUoKBccfOYw==" spinCount="100000" sqref="C129:D129" name="CIN CDP_1_30"/>
    <protectedRange algorithmName="SHA-512" hashValue="n6K25g9uzAcpntxjqTQaPVdKX1eij75CLB1gBuUNBybVL5B3VaxVW/Tcen54TXijIel0fCN9KO3xZiLZCJMSZw==" saltValue="89UdTK4UUElaUoKBccfOYw==" spinCount="100000" sqref="C130:D130" name="CIN CDP_1_31"/>
    <protectedRange algorithmName="SHA-512" hashValue="n6K25g9uzAcpntxjqTQaPVdKX1eij75CLB1gBuUNBybVL5B3VaxVW/Tcen54TXijIel0fCN9KO3xZiLZCJMSZw==" saltValue="89UdTK4UUElaUoKBccfOYw==" spinCount="100000" sqref="C132:D132" name="CIN CDP_1_32"/>
    <protectedRange algorithmName="SHA-512" hashValue="n6K25g9uzAcpntxjqTQaPVdKX1eij75CLB1gBuUNBybVL5B3VaxVW/Tcen54TXijIel0fCN9KO3xZiLZCJMSZw==" saltValue="89UdTK4UUElaUoKBccfOYw==" spinCount="100000" sqref="C133:D133" name="CIN CDP_1_33"/>
    <protectedRange algorithmName="SHA-512" hashValue="n6K25g9uzAcpntxjqTQaPVdKX1eij75CLB1gBuUNBybVL5B3VaxVW/Tcen54TXijIel0fCN9KO3xZiLZCJMSZw==" saltValue="89UdTK4UUElaUoKBccfOYw==" spinCount="100000" sqref="C134:D134" name="CIN CDP_1_34"/>
    <protectedRange algorithmName="SHA-512" hashValue="n6K25g9uzAcpntxjqTQaPVdKX1eij75CLB1gBuUNBybVL5B3VaxVW/Tcen54TXijIel0fCN9KO3xZiLZCJMSZw==" saltValue="89UdTK4UUElaUoKBccfOYw==" spinCount="100000" sqref="C135:D135" name="CIN CDP_1_35"/>
    <protectedRange algorithmName="SHA-512" hashValue="n6K25g9uzAcpntxjqTQaPVdKX1eij75CLB1gBuUNBybVL5B3VaxVW/Tcen54TXijIel0fCN9KO3xZiLZCJMSZw==" saltValue="89UdTK4UUElaUoKBccfOYw==" spinCount="100000" sqref="C136:D136" name="CIN CDP_1_36"/>
    <protectedRange algorithmName="SHA-512" hashValue="n6K25g9uzAcpntxjqTQaPVdKX1eij75CLB1gBuUNBybVL5B3VaxVW/Tcen54TXijIel0fCN9KO3xZiLZCJMSZw==" saltValue="89UdTK4UUElaUoKBccfOYw==" spinCount="100000" sqref="C137:D137" name="CIN CDP_1_37"/>
    <protectedRange algorithmName="SHA-512" hashValue="n6K25g9uzAcpntxjqTQaPVdKX1eij75CLB1gBuUNBybVL5B3VaxVW/Tcen54TXijIel0fCN9KO3xZiLZCJMSZw==" saltValue="89UdTK4UUElaUoKBccfOYw==" spinCount="100000" sqref="C138:D138" name="CIN CDP_1_38"/>
  </protectedRanges>
  <autoFilter ref="A1:XEY131" xr:uid="{00000000-0001-0000-0D00-000000000000}">
    <sortState xmlns:xlrd2="http://schemas.microsoft.com/office/spreadsheetml/2017/richdata2" ref="A2:XEY121">
      <sortCondition ref="F1:F121"/>
    </sortState>
  </autoFilter>
  <conditionalFormatting sqref="A21">
    <cfRule type="expression" dxfId="903" priority="886">
      <formula>$Y21="Benzick, Sue"</formula>
    </cfRule>
    <cfRule type="expression" dxfId="902" priority="887">
      <formula>$Y21="Jenne, Richard"</formula>
    </cfRule>
    <cfRule type="expression" dxfId="901" priority="888">
      <formula>$Y21="McQueen, Jennifer"</formula>
    </cfRule>
  </conditionalFormatting>
  <conditionalFormatting sqref="A27">
    <cfRule type="expression" dxfId="900" priority="826">
      <formula>$Y27="Benzick, Sue"</formula>
    </cfRule>
    <cfRule type="expression" dxfId="899" priority="827">
      <formula>$Y27="Jenne, Richard"</formula>
    </cfRule>
    <cfRule type="expression" dxfId="898" priority="828">
      <formula>$Y27="McQueen, Jennifer"</formula>
    </cfRule>
  </conditionalFormatting>
  <conditionalFormatting sqref="A38 P38">
    <cfRule type="expression" dxfId="897" priority="712">
      <formula>$X38="Benzick, Sue"</formula>
    </cfRule>
    <cfRule type="expression" dxfId="896" priority="713">
      <formula>$X38="Jenne, Richard"</formula>
    </cfRule>
    <cfRule type="expression" dxfId="895" priority="714">
      <formula>$X38="McQueen, Jennifer"</formula>
    </cfRule>
  </conditionalFormatting>
  <conditionalFormatting sqref="A39">
    <cfRule type="expression" dxfId="894" priority="697">
      <formula>$Y39="Benzick, Sue"</formula>
    </cfRule>
    <cfRule type="expression" dxfId="893" priority="698">
      <formula>$Y39="Jenne, Richard"</formula>
    </cfRule>
    <cfRule type="expression" dxfId="892" priority="699">
      <formula>$Y39="McQueen, Jennifer"</formula>
    </cfRule>
  </conditionalFormatting>
  <conditionalFormatting sqref="A45">
    <cfRule type="expression" dxfId="891" priority="622">
      <formula>$Y45="Benzick, Sue"</formula>
    </cfRule>
    <cfRule type="expression" dxfId="890" priority="623">
      <formula>$Y45="Jenne, Richard"</formula>
    </cfRule>
    <cfRule type="expression" dxfId="889" priority="624">
      <formula>$Y45="McQueen, Jennifer"</formula>
    </cfRule>
  </conditionalFormatting>
  <conditionalFormatting sqref="A50">
    <cfRule type="expression" dxfId="888" priority="559">
      <formula>$X50="Benzick, Sue"</formula>
    </cfRule>
    <cfRule type="expression" dxfId="887" priority="560">
      <formula>$X50="Jenne, Richard"</formula>
    </cfRule>
    <cfRule type="expression" dxfId="886" priority="561">
      <formula>$X50="McQueen, Jennifer"</formula>
    </cfRule>
  </conditionalFormatting>
  <conditionalFormatting sqref="A51">
    <cfRule type="expression" dxfId="885" priority="544">
      <formula>$Y51="Benzick, Sue"</formula>
    </cfRule>
    <cfRule type="expression" dxfId="884" priority="545">
      <formula>$Y51="Jenne, Richard"</formula>
    </cfRule>
    <cfRule type="expression" dxfId="883" priority="546">
      <formula>$Y51="McQueen, Jennifer"</formula>
    </cfRule>
  </conditionalFormatting>
  <conditionalFormatting sqref="A59 E59 J59:N59 S59">
    <cfRule type="expression" dxfId="882" priority="463">
      <formula>$Y59="Benzick, Sue"</formula>
    </cfRule>
    <cfRule type="expression" dxfId="881" priority="464">
      <formula>$Y59="Jenne, Richard"</formula>
    </cfRule>
    <cfRule type="expression" dxfId="880" priority="465">
      <formula>$Y59="McQueen, Jennifer"</formula>
    </cfRule>
  </conditionalFormatting>
  <conditionalFormatting sqref="A66 S66">
    <cfRule type="expression" dxfId="879" priority="391">
      <formula>$Y66="Benzick, Sue"</formula>
    </cfRule>
    <cfRule type="expression" dxfId="878" priority="392">
      <formula>$Y66="Jenne, Richard"</formula>
    </cfRule>
    <cfRule type="expression" dxfId="877" priority="393">
      <formula>$Y66="McQueen, Jennifer"</formula>
    </cfRule>
  </conditionalFormatting>
  <conditionalFormatting sqref="A69">
    <cfRule type="expression" dxfId="876" priority="367">
      <formula>$Y69="Benzick, Sue"</formula>
    </cfRule>
    <cfRule type="expression" dxfId="875" priority="368">
      <formula>$Y69="Jenne, Richard"</formula>
    </cfRule>
    <cfRule type="expression" dxfId="874" priority="369">
      <formula>$Y69="McQueen, Jennifer"</formula>
    </cfRule>
  </conditionalFormatting>
  <conditionalFormatting sqref="A74:A75 M75:N75 S75:U75">
    <cfRule type="expression" dxfId="873" priority="301">
      <formula>$Y74="Benzick, Sue"</formula>
    </cfRule>
    <cfRule type="expression" dxfId="872" priority="302">
      <formula>$Y74="Jenne, Richard"</formula>
    </cfRule>
    <cfRule type="expression" dxfId="871" priority="303">
      <formula>$Y74="McQueen, Jennifer"</formula>
    </cfRule>
  </conditionalFormatting>
  <conditionalFormatting sqref="A112 F112 S112">
    <cfRule type="expression" dxfId="870" priority="178">
      <formula>$Y112="Benzick, Sue"</formula>
    </cfRule>
    <cfRule type="expression" dxfId="869" priority="179">
      <formula>$Y112="Jenne, Richard"</formula>
    </cfRule>
    <cfRule type="expression" dxfId="868" priority="180">
      <formula>$Y112="McQueen, Jennifer"</formula>
    </cfRule>
  </conditionalFormatting>
  <conditionalFormatting sqref="A14:B14 A15:A16">
    <cfRule type="expression" dxfId="867" priority="985">
      <formula>$Y14="Benzick, Sue"</formula>
    </cfRule>
    <cfRule type="expression" dxfId="866" priority="986">
      <formula>$Y14="Jenne, Richard"</formula>
    </cfRule>
    <cfRule type="expression" dxfId="865" priority="987">
      <formula>$Y14="McQueen, Jennifer"</formula>
    </cfRule>
  </conditionalFormatting>
  <conditionalFormatting sqref="A18:B19 P18:P19 E19 S19:U19">
    <cfRule type="expression" dxfId="864" priority="916">
      <formula>$Y18="Benzick, Sue"</formula>
    </cfRule>
    <cfRule type="expression" dxfId="863" priority="917">
      <formula>$Y18="Jenne, Richard"</formula>
    </cfRule>
    <cfRule type="expression" dxfId="862" priority="918">
      <formula>$Y18="McQueen, Jennifer"</formula>
    </cfRule>
  </conditionalFormatting>
  <conditionalFormatting sqref="A28:B30 S29:U30">
    <cfRule type="expression" dxfId="861" priority="790">
      <formula>$Y28="Benzick, Sue"</formula>
    </cfRule>
    <cfRule type="expression" dxfId="860" priority="791">
      <formula>$Y28="Jenne, Richard"</formula>
    </cfRule>
    <cfRule type="expression" dxfId="859" priority="792">
      <formula>$Y28="McQueen, Jennifer"</formula>
    </cfRule>
  </conditionalFormatting>
  <conditionalFormatting sqref="A40:B44 P40:P44">
    <cfRule type="expression" dxfId="858" priority="634">
      <formula>$Y40="Benzick, Sue"</formula>
    </cfRule>
    <cfRule type="expression" dxfId="857" priority="635">
      <formula>$Y40="Jenne, Richard"</formula>
    </cfRule>
    <cfRule type="expression" dxfId="856" priority="636">
      <formula>$Y40="McQueen, Jennifer"</formula>
    </cfRule>
  </conditionalFormatting>
  <conditionalFormatting sqref="A46:B47">
    <cfRule type="expression" dxfId="855" priority="595">
      <formula>$Y46="Benzick, Sue"</formula>
    </cfRule>
    <cfRule type="expression" dxfId="854" priority="596">
      <formula>$Y46="Jenne, Richard"</formula>
    </cfRule>
    <cfRule type="expression" dxfId="853" priority="597">
      <formula>$Y46="McQueen, Jennifer"</formula>
    </cfRule>
  </conditionalFormatting>
  <conditionalFormatting sqref="A68:B68 P68">
    <cfRule type="expression" dxfId="852" priority="382">
      <formula>$Y68="Benzick, Sue"</formula>
    </cfRule>
    <cfRule type="expression" dxfId="851" priority="383">
      <formula>$Y68="Jenne, Richard"</formula>
    </cfRule>
    <cfRule type="expression" dxfId="850" priority="384">
      <formula>$Y68="McQueen, Jennifer"</formula>
    </cfRule>
  </conditionalFormatting>
  <conditionalFormatting sqref="E17">
    <cfRule type="expression" dxfId="849" priority="943">
      <formula>$W17="Benzick, Sue"</formula>
    </cfRule>
    <cfRule type="expression" dxfId="848" priority="944">
      <formula>$W17="Jenne, Richard"</formula>
    </cfRule>
    <cfRule type="expression" dxfId="847" priority="945">
      <formula>$W17="McQueen, Jennifer"</formula>
    </cfRule>
  </conditionalFormatting>
  <conditionalFormatting sqref="E18">
    <cfRule type="expression" dxfId="846" priority="934">
      <formula>$X18="Benzick, Sue"</formula>
    </cfRule>
    <cfRule type="expression" dxfId="845" priority="935">
      <formula>$X18="Jenne, Richard"</formula>
    </cfRule>
    <cfRule type="expression" dxfId="844" priority="936">
      <formula>$X18="McQueen, Jennifer"</formula>
    </cfRule>
  </conditionalFormatting>
  <conditionalFormatting sqref="E24">
    <cfRule type="expression" dxfId="843" priority="856">
      <formula>$Y24="Benzick, Sue"</formula>
    </cfRule>
    <cfRule type="expression" dxfId="842" priority="857">
      <formula>$Y24="Jenne, Richard"</formula>
    </cfRule>
    <cfRule type="expression" dxfId="841" priority="858">
      <formula>$Y24="McQueen, Jennifer"</formula>
    </cfRule>
  </conditionalFormatting>
  <conditionalFormatting sqref="E40:E43">
    <cfRule type="expression" dxfId="840" priority="649">
      <formula>$Y40="Benzick, Sue"</formula>
    </cfRule>
    <cfRule type="expression" dxfId="839" priority="650">
      <formula>$Y40="Jenne, Richard"</formula>
    </cfRule>
    <cfRule type="expression" dxfId="838" priority="651">
      <formula>$Y40="McQueen, Jennifer"</formula>
    </cfRule>
  </conditionalFormatting>
  <conditionalFormatting sqref="E53:E54">
    <cfRule type="expression" dxfId="837" priority="514">
      <formula>$Y53="Benzick, Sue"</formula>
    </cfRule>
    <cfRule type="expression" dxfId="836" priority="515">
      <formula>$Y53="Jenne, Richard"</formula>
    </cfRule>
    <cfRule type="expression" dxfId="835" priority="516">
      <formula>$Y53="McQueen, Jennifer"</formula>
    </cfRule>
  </conditionalFormatting>
  <conditionalFormatting sqref="E56:E57">
    <cfRule type="expression" dxfId="834" priority="484">
      <formula>$Y56="Benzick, Sue"</formula>
    </cfRule>
    <cfRule type="expression" dxfId="833" priority="485">
      <formula>$Y56="Jenne, Richard"</formula>
    </cfRule>
    <cfRule type="expression" dxfId="832" priority="486">
      <formula>$Y56="McQueen, Jennifer"</formula>
    </cfRule>
  </conditionalFormatting>
  <conditionalFormatting sqref="E66 P66 X66:Y66">
    <cfRule type="expression" dxfId="831" priority="394">
      <formula>$X66="Benzick, Sue"</formula>
    </cfRule>
    <cfRule type="expression" dxfId="830" priority="395">
      <formula>$X66="Jenne, Richard"</formula>
    </cfRule>
    <cfRule type="expression" dxfId="829" priority="396">
      <formula>$X66="McQueen, Jennifer"</formula>
    </cfRule>
  </conditionalFormatting>
  <conditionalFormatting sqref="E68">
    <cfRule type="expression" dxfId="828" priority="385">
      <formula>$X68="Benzick, Sue"</formula>
    </cfRule>
    <cfRule type="expression" dxfId="827" priority="386">
      <formula>$X68="Jenne, Richard"</formula>
    </cfRule>
    <cfRule type="expression" dxfId="826" priority="387">
      <formula>$X68="McQueen, Jennifer"</formula>
    </cfRule>
  </conditionalFormatting>
  <conditionalFormatting sqref="E71">
    <cfRule type="expression" dxfId="825" priority="340">
      <formula>$Y71="Benzick, Sue"</formula>
    </cfRule>
    <cfRule type="expression" dxfId="824" priority="341">
      <formula>$Y71="Jenne, Richard"</formula>
    </cfRule>
    <cfRule type="expression" dxfId="823" priority="342">
      <formula>$Y71="McQueen, Jennifer"</formula>
    </cfRule>
  </conditionalFormatting>
  <conditionalFormatting sqref="E76">
    <cfRule type="expression" dxfId="822" priority="295">
      <formula>$Y76="Benzick, Sue"</formula>
    </cfRule>
    <cfRule type="expression" dxfId="821" priority="296">
      <formula>$Y76="Jenne, Richard"</formula>
    </cfRule>
    <cfRule type="expression" dxfId="820" priority="297">
      <formula>$Y76="McQueen, Jennifer"</formula>
    </cfRule>
  </conditionalFormatting>
  <conditionalFormatting sqref="E78:E79 A79:B79 J79:N79 P79">
    <cfRule type="expression" dxfId="819" priority="259">
      <formula>$Y78="Benzick, Sue"</formula>
    </cfRule>
    <cfRule type="expression" dxfId="818" priority="260">
      <formula>$Y78="Jenne, Richard"</formula>
    </cfRule>
    <cfRule type="expression" dxfId="817" priority="261">
      <formula>$Y78="McQueen, Jennifer"</formula>
    </cfRule>
  </conditionalFormatting>
  <conditionalFormatting sqref="E135:E138 B138">
    <cfRule type="expression" dxfId="816" priority="1">
      <formula>$Y135="Benzick, Sue"</formula>
    </cfRule>
    <cfRule type="expression" dxfId="815" priority="2">
      <formula>$Y135="Jenne, Richard"</formula>
    </cfRule>
    <cfRule type="expression" dxfId="814" priority="3">
      <formula>$Y135="McQueen, Jennifer"</formula>
    </cfRule>
  </conditionalFormatting>
  <conditionalFormatting sqref="E15:F16">
    <cfRule type="expression" dxfId="813" priority="955">
      <formula>$Y15="Benzick, Sue"</formula>
    </cfRule>
    <cfRule type="expression" dxfId="812" priority="956">
      <formula>$Y15="Jenne, Richard"</formula>
    </cfRule>
    <cfRule type="expression" dxfId="811" priority="957">
      <formula>$Y15="McQueen, Jennifer"</formula>
    </cfRule>
  </conditionalFormatting>
  <conditionalFormatting sqref="E26:F26">
    <cfRule type="expression" dxfId="810" priority="841">
      <formula>$X26="Benzick, Sue"</formula>
    </cfRule>
    <cfRule type="expression" dxfId="809" priority="842">
      <formula>$X26="Jenne, Richard"</formula>
    </cfRule>
    <cfRule type="expression" dxfId="808" priority="843">
      <formula>$X26="McQueen, Jennifer"</formula>
    </cfRule>
  </conditionalFormatting>
  <conditionalFormatting sqref="E29:G29">
    <cfRule type="expression" dxfId="807" priority="799">
      <formula>#REF!="Benzick, Sue"</formula>
    </cfRule>
    <cfRule type="expression" dxfId="806" priority="800">
      <formula>#REF!="Jenne, Richard"</formula>
    </cfRule>
    <cfRule type="expression" dxfId="805" priority="801">
      <formula>#REF!="McQueen, Jennifer"</formula>
    </cfRule>
  </conditionalFormatting>
  <conditionalFormatting sqref="E36:G36">
    <cfRule type="expression" dxfId="804" priority="733">
      <formula>$X36="Benzick, Sue"</formula>
    </cfRule>
    <cfRule type="expression" dxfId="803" priority="734">
      <formula>$X36="Jenne, Richard"</formula>
    </cfRule>
    <cfRule type="expression" dxfId="802" priority="735">
      <formula>$X36="McQueen, Jennifer"</formula>
    </cfRule>
  </conditionalFormatting>
  <conditionalFormatting sqref="E37:G37">
    <cfRule type="expression" dxfId="801" priority="721">
      <formula>$Y37="Benzick, Sue"</formula>
    </cfRule>
    <cfRule type="expression" dxfId="800" priority="722">
      <formula>$Y37="Jenne, Richard"</formula>
    </cfRule>
    <cfRule type="expression" dxfId="799" priority="723">
      <formula>$Y37="McQueen, Jennifer"</formula>
    </cfRule>
  </conditionalFormatting>
  <conditionalFormatting sqref="E44:G44">
    <cfRule type="expression" dxfId="798" priority="631">
      <formula>#REF!="Benzick, Sue"</formula>
    </cfRule>
    <cfRule type="expression" dxfId="797" priority="632">
      <formula>#REF!="Jenne, Richard"</formula>
    </cfRule>
    <cfRule type="expression" dxfId="796" priority="633">
      <formula>#REF!="McQueen, Jennifer"</formula>
    </cfRule>
  </conditionalFormatting>
  <conditionalFormatting sqref="E28:H28">
    <cfRule type="expression" dxfId="795" priority="817">
      <formula>$X28="Benzick, Sue"</formula>
    </cfRule>
    <cfRule type="expression" dxfId="794" priority="818">
      <formula>$X28="Jenne, Richard"</formula>
    </cfRule>
    <cfRule type="expression" dxfId="793" priority="819">
      <formula>$X28="McQueen, Jennifer"</formula>
    </cfRule>
  </conditionalFormatting>
  <conditionalFormatting sqref="E38:H38">
    <cfRule type="expression" dxfId="792" priority="709">
      <formula>#REF!="Benzick, Sue"</formula>
    </cfRule>
    <cfRule type="expression" dxfId="791" priority="710">
      <formula>#REF!="Jenne, Richard"</formula>
    </cfRule>
  </conditionalFormatting>
  <conditionalFormatting sqref="E45:H45">
    <cfRule type="expression" dxfId="790" priority="616">
      <formula>#REF!="Benzick, Sue"</formula>
    </cfRule>
    <cfRule type="expression" dxfId="789" priority="617">
      <formula>#REF!="Jenne, Richard"</formula>
    </cfRule>
  </conditionalFormatting>
  <conditionalFormatting sqref="E58:H58 S58:T58">
    <cfRule type="expression" dxfId="788" priority="478">
      <formula>$X58="Benzick, Sue"</formula>
    </cfRule>
    <cfRule type="expression" dxfId="787" priority="479">
      <formula>$X58="Jenne, Richard"</formula>
    </cfRule>
    <cfRule type="expression" dxfId="786" priority="480">
      <formula>$X58="McQueen, Jennifer"</formula>
    </cfRule>
  </conditionalFormatting>
  <conditionalFormatting sqref="E60:H60">
    <cfRule type="expression" dxfId="785" priority="445">
      <formula>#REF!="Benzick, Sue"</formula>
    </cfRule>
    <cfRule type="expression" dxfId="784" priority="446">
      <formula>#REF!="Jenne, Richard"</formula>
    </cfRule>
  </conditionalFormatting>
  <conditionalFormatting sqref="E69:H69">
    <cfRule type="expression" dxfId="783" priority="361">
      <formula>#REF!="Benzick, Sue"</formula>
    </cfRule>
    <cfRule type="expression" dxfId="782" priority="362">
      <formula>#REF!="Jenne, Richard"</formula>
    </cfRule>
  </conditionalFormatting>
  <conditionalFormatting sqref="E74:H74 J74:N74 P74">
    <cfRule type="expression" dxfId="781" priority="316">
      <formula>$X74="Benzick, Sue"</formula>
    </cfRule>
    <cfRule type="expression" dxfId="780" priority="317">
      <formula>$X74="Jenne, Richard"</formula>
    </cfRule>
    <cfRule type="expression" dxfId="779" priority="318">
      <formula>$X74="McQueen, Jennifer"</formula>
    </cfRule>
  </conditionalFormatting>
  <conditionalFormatting sqref="E30:I30">
    <cfRule type="expression" dxfId="778" priority="787">
      <formula>#REF!="Benzick, Sue"</formula>
    </cfRule>
    <cfRule type="expression" dxfId="777" priority="788">
      <formula>#REF!="Jenne, Richard"</formula>
    </cfRule>
    <cfRule type="expression" dxfId="776" priority="789">
      <formula>#REF!="McQueen, Jennifer"</formula>
    </cfRule>
  </conditionalFormatting>
  <conditionalFormatting sqref="E45:I45">
    <cfRule type="expression" dxfId="775" priority="618">
      <formula>#REF!="McQueen, Jennifer"</formula>
    </cfRule>
  </conditionalFormatting>
  <conditionalFormatting sqref="E69:I69">
    <cfRule type="expression" dxfId="774" priority="363">
      <formula>#REF!="McQueen, Jennifer"</formula>
    </cfRule>
  </conditionalFormatting>
  <conditionalFormatting sqref="E75:I75">
    <cfRule type="expression" dxfId="773" priority="298">
      <formula>#REF!="Benzick, Sue"</formula>
    </cfRule>
    <cfRule type="expression" dxfId="772" priority="299">
      <formula>#REF!="Jenne, Richard"</formula>
    </cfRule>
    <cfRule type="expression" dxfId="771" priority="300">
      <formula>#REF!="McQueen, Jennifer"</formula>
    </cfRule>
  </conditionalFormatting>
  <conditionalFormatting sqref="E38:N38">
    <cfRule type="expression" dxfId="770" priority="708">
      <formula>#REF!="McQueen, Jennifer"</formula>
    </cfRule>
  </conditionalFormatting>
  <conditionalFormatting sqref="E60:N60">
    <cfRule type="expression" dxfId="769" priority="447">
      <formula>#REF!="McQueen, Jennifer"</formula>
    </cfRule>
  </conditionalFormatting>
  <conditionalFormatting sqref="F19">
    <cfRule type="expression" dxfId="768" priority="913">
      <formula>$Y20="Benzick, Sue"</formula>
    </cfRule>
    <cfRule type="expression" dxfId="767" priority="914">
      <formula>$Y20="Jenne, Richard"</formula>
    </cfRule>
    <cfRule type="expression" dxfId="766" priority="915">
      <formula>$Y20="McQueen, Jennifer"</formula>
    </cfRule>
  </conditionalFormatting>
  <conditionalFormatting sqref="F43">
    <cfRule type="expression" dxfId="765" priority="646">
      <formula>$Y44="Benzick, Sue"</formula>
    </cfRule>
    <cfRule type="expression" dxfId="764" priority="647">
      <formula>$Y44="Jenne, Richard"</formula>
    </cfRule>
    <cfRule type="expression" dxfId="763" priority="648">
      <formula>$Y44="McQueen, Jennifer"</formula>
    </cfRule>
  </conditionalFormatting>
  <conditionalFormatting sqref="F59">
    <cfRule type="expression" dxfId="762" priority="466">
      <formula>$X59="Benzick, Sue"</formula>
    </cfRule>
    <cfRule type="expression" dxfId="761" priority="467">
      <formula>$X59="Jenne, Richard"</formula>
    </cfRule>
    <cfRule type="expression" dxfId="760" priority="468">
      <formula>$X59="McQueen, Jennifer"</formula>
    </cfRule>
  </conditionalFormatting>
  <conditionalFormatting sqref="F68">
    <cfRule type="expression" dxfId="759" priority="376">
      <formula>$X69="Benzick, Sue"</formula>
    </cfRule>
    <cfRule type="expression" dxfId="758" priority="377">
      <formula>$X69="Jenne, Richard"</formula>
    </cfRule>
    <cfRule type="expression" dxfId="757" priority="378">
      <formula>$X69="McQueen, Jennifer"</formula>
    </cfRule>
  </conditionalFormatting>
  <conditionalFormatting sqref="F18:G18">
    <cfRule type="expression" dxfId="756" priority="925">
      <formula>#REF!="Benzick, Sue"</formula>
    </cfRule>
    <cfRule type="expression" dxfId="755" priority="926">
      <formula>#REF!="Jenne, Richard"</formula>
    </cfRule>
    <cfRule type="expression" dxfId="754" priority="927">
      <formula>#REF!="McQueen, Jennifer"</formula>
    </cfRule>
  </conditionalFormatting>
  <conditionalFormatting sqref="F78:G78">
    <cfRule type="expression" dxfId="753" priority="271">
      <formula>#REF!="Benzick, Sue"</formula>
    </cfRule>
    <cfRule type="expression" dxfId="752" priority="272">
      <formula>#REF!="Jenne, Richard"</formula>
    </cfRule>
    <cfRule type="expression" dxfId="751" priority="273">
      <formula>#REF!="McQueen, Jennifer"</formula>
    </cfRule>
  </conditionalFormatting>
  <conditionalFormatting sqref="F39:H39 J39:N39">
    <cfRule type="expression" dxfId="750" priority="700">
      <formula>$X39="Benzick, Sue"</formula>
    </cfRule>
    <cfRule type="expression" dxfId="749" priority="701">
      <formula>$X39="Jenne, Richard"</formula>
    </cfRule>
    <cfRule type="expression" dxfId="748" priority="702">
      <formula>$X39="McQueen, Jennifer"</formula>
    </cfRule>
  </conditionalFormatting>
  <conditionalFormatting sqref="F135:H135">
    <cfRule type="expression" dxfId="747" priority="10">
      <formula>$P135="Benzick, Sue"</formula>
    </cfRule>
    <cfRule type="expression" dxfId="746" priority="11">
      <formula>$P135="Jenne, Richard"</formula>
    </cfRule>
    <cfRule type="expression" dxfId="745" priority="12">
      <formula>$P135="McQueen, Jennifer"</formula>
    </cfRule>
  </conditionalFormatting>
  <conditionalFormatting sqref="H19">
    <cfRule type="expression" dxfId="744" priority="907">
      <formula>#REF!="Benzick, Sue"</formula>
    </cfRule>
    <cfRule type="expression" dxfId="743" priority="908">
      <formula>#REF!="Jenne, Richard"</formula>
    </cfRule>
    <cfRule type="expression" dxfId="742" priority="909">
      <formula>#REF!="McQueen, Jennifer"</formula>
    </cfRule>
  </conditionalFormatting>
  <conditionalFormatting sqref="H34">
    <cfRule type="expression" dxfId="741" priority="748">
      <formula>#REF!="Benzick, Sue"</formula>
    </cfRule>
    <cfRule type="expression" dxfId="740" priority="749">
      <formula>#REF!="Jenne, Richard"</formula>
    </cfRule>
  </conditionalFormatting>
  <conditionalFormatting sqref="H47">
    <cfRule type="expression" dxfId="739" priority="592">
      <formula>#REF!="Benzick, Sue"</formula>
    </cfRule>
    <cfRule type="expression" dxfId="738" priority="593">
      <formula>#REF!="Jenne, Richard"</formula>
    </cfRule>
  </conditionalFormatting>
  <conditionalFormatting sqref="H17:I18">
    <cfRule type="expression" dxfId="737" priority="928">
      <formula>#REF!="Benzick, Sue"</formula>
    </cfRule>
    <cfRule type="expression" dxfId="736" priority="929">
      <formula>#REF!="Jenne, Richard"</formula>
    </cfRule>
    <cfRule type="expression" dxfId="735" priority="930">
      <formula>#REF!="McQueen, Jennifer"</formula>
    </cfRule>
  </conditionalFormatting>
  <conditionalFormatting sqref="H20:I22">
    <cfRule type="expression" dxfId="734" priority="874">
      <formula>#REF!="Benzick, Sue"</formula>
    </cfRule>
    <cfRule type="expression" dxfId="733" priority="875">
      <formula>#REF!="Jenne, Richard"</formula>
    </cfRule>
    <cfRule type="expression" dxfId="732" priority="876">
      <formula>#REF!="McQueen, Jennifer"</formula>
    </cfRule>
  </conditionalFormatting>
  <conditionalFormatting sqref="H25:I27">
    <cfRule type="expression" dxfId="731" priority="823">
      <formula>#REF!="Benzick, Sue"</formula>
    </cfRule>
    <cfRule type="expression" dxfId="730" priority="824">
      <formula>#REF!="Jenne, Richard"</formula>
    </cfRule>
    <cfRule type="expression" dxfId="729" priority="825">
      <formula>#REF!="McQueen, Jennifer"</formula>
    </cfRule>
  </conditionalFormatting>
  <conditionalFormatting sqref="H32:I32">
    <cfRule type="expression" dxfId="728" priority="769">
      <formula>#REF!="Benzick, Sue"</formula>
    </cfRule>
    <cfRule type="expression" dxfId="727" priority="770">
      <formula>#REF!="Jenne, Richard"</formula>
    </cfRule>
    <cfRule type="expression" dxfId="726" priority="771">
      <formula>#REF!="McQueen, Jennifer"</formula>
    </cfRule>
  </conditionalFormatting>
  <conditionalFormatting sqref="H34:I34">
    <cfRule type="expression" dxfId="725" priority="750">
      <formula>#REF!="McQueen, Jennifer"</formula>
    </cfRule>
  </conditionalFormatting>
  <conditionalFormatting sqref="H36:I37">
    <cfRule type="expression" dxfId="724" priority="718">
      <formula>#REF!="Benzick, Sue"</formula>
    </cfRule>
    <cfRule type="expression" dxfId="723" priority="719">
      <formula>#REF!="Jenne, Richard"</formula>
    </cfRule>
    <cfRule type="expression" dxfId="722" priority="720">
      <formula>#REF!="McQueen, Jennifer"</formula>
    </cfRule>
  </conditionalFormatting>
  <conditionalFormatting sqref="H40:I40">
    <cfRule type="expression" dxfId="721" priority="682">
      <formula>#REF!="Benzick, Sue"</formula>
    </cfRule>
    <cfRule type="expression" dxfId="720" priority="683">
      <formula>#REF!="Jenne, Richard"</formula>
    </cfRule>
    <cfRule type="expression" dxfId="719" priority="684">
      <formula>#REF!="McQueen, Jennifer"</formula>
    </cfRule>
  </conditionalFormatting>
  <conditionalFormatting sqref="H46:I46">
    <cfRule type="expression" dxfId="718" priority="604">
      <formula>#REF!="Benzick, Sue"</formula>
    </cfRule>
    <cfRule type="expression" dxfId="717" priority="605">
      <formula>#REF!="Jenne, Richard"</formula>
    </cfRule>
  </conditionalFormatting>
  <conditionalFormatting sqref="H46:I47">
    <cfRule type="expression" dxfId="716" priority="591">
      <formula>#REF!="McQueen, Jennifer"</formula>
    </cfRule>
  </conditionalFormatting>
  <conditionalFormatting sqref="H50:I50">
    <cfRule type="expression" dxfId="715" priority="553">
      <formula>#REF!="Benzick, Sue"</formula>
    </cfRule>
    <cfRule type="expression" dxfId="714" priority="554">
      <formula>#REF!="Jenne, Richard"</formula>
    </cfRule>
    <cfRule type="expression" dxfId="713" priority="555">
      <formula>#REF!="McQueen, Jennifer"</formula>
    </cfRule>
  </conditionalFormatting>
  <conditionalFormatting sqref="H56:I57">
    <cfRule type="expression" dxfId="712" priority="481">
      <formula>#REF!="Benzick, Sue"</formula>
    </cfRule>
    <cfRule type="expression" dxfId="711" priority="482">
      <formula>#REF!="Jenne, Richard"</formula>
    </cfRule>
    <cfRule type="expression" dxfId="710" priority="483">
      <formula>#REF!="McQueen, Jennifer"</formula>
    </cfRule>
  </conditionalFormatting>
  <conditionalFormatting sqref="H59:I59">
    <cfRule type="expression" dxfId="709" priority="460">
      <formula>#REF!="Benzick, Sue"</formula>
    </cfRule>
    <cfRule type="expression" dxfId="708" priority="461">
      <formula>#REF!="Jenne, Richard"</formula>
    </cfRule>
    <cfRule type="expression" dxfId="707" priority="462">
      <formula>#REF!="McQueen, Jennifer"</formula>
    </cfRule>
  </conditionalFormatting>
  <conditionalFormatting sqref="H61:I62">
    <cfRule type="expression" dxfId="706" priority="424">
      <formula>#REF!="Benzick, Sue"</formula>
    </cfRule>
    <cfRule type="expression" dxfId="705" priority="425">
      <formula>#REF!="Jenne, Richard"</formula>
    </cfRule>
    <cfRule type="expression" dxfId="704" priority="426">
      <formula>#REF!="McQueen, Jennifer"</formula>
    </cfRule>
  </conditionalFormatting>
  <conditionalFormatting sqref="H64:I64">
    <cfRule type="expression" dxfId="703" priority="406">
      <formula>#REF!="Benzick, Sue"</formula>
    </cfRule>
    <cfRule type="expression" dxfId="702" priority="407">
      <formula>#REF!="Jenne, Richard"</formula>
    </cfRule>
    <cfRule type="expression" dxfId="701" priority="408">
      <formula>#REF!="McQueen, Jennifer"</formula>
    </cfRule>
  </conditionalFormatting>
  <conditionalFormatting sqref="H70:I70">
    <cfRule type="expression" dxfId="700" priority="349">
      <formula>#REF!="Benzick, Sue"</formula>
    </cfRule>
    <cfRule type="expression" dxfId="699" priority="350">
      <formula>#REF!="Jenne, Richard"</formula>
    </cfRule>
    <cfRule type="expression" dxfId="698" priority="351">
      <formula>#REF!="McQueen, Jennifer"</formula>
    </cfRule>
  </conditionalFormatting>
  <conditionalFormatting sqref="H76:I76">
    <cfRule type="expression" dxfId="697" priority="292">
      <formula>#REF!="Benzick, Sue"</formula>
    </cfRule>
    <cfRule type="expression" dxfId="696" priority="293">
      <formula>#REF!="Jenne, Richard"</formula>
    </cfRule>
    <cfRule type="expression" dxfId="695" priority="294">
      <formula>#REF!="McQueen, Jennifer"</formula>
    </cfRule>
  </conditionalFormatting>
  <conditionalFormatting sqref="H78:I79">
    <cfRule type="expression" dxfId="694" priority="256">
      <formula>#REF!="Benzick, Sue"</formula>
    </cfRule>
    <cfRule type="expression" dxfId="693" priority="257">
      <formula>#REF!="Jenne, Richard"</formula>
    </cfRule>
    <cfRule type="expression" dxfId="692" priority="258">
      <formula>#REF!="McQueen, Jennifer"</formula>
    </cfRule>
  </conditionalFormatting>
  <conditionalFormatting sqref="H41:N41">
    <cfRule type="expression" dxfId="691" priority="670">
      <formula>#REF!="Benzick, Sue"</formula>
    </cfRule>
    <cfRule type="expression" dxfId="690" priority="671">
      <formula>#REF!="Jenne, Richard"</formula>
    </cfRule>
    <cfRule type="expression" dxfId="689" priority="672">
      <formula>#REF!="McQueen, Jennifer"</formula>
    </cfRule>
  </conditionalFormatting>
  <conditionalFormatting sqref="H80:N80">
    <cfRule type="expression" dxfId="688" priority="250">
      <formula>#REF!="Benzick, Sue"</formula>
    </cfRule>
    <cfRule type="expression" dxfId="687" priority="251">
      <formula>#REF!="Jenne, Richard"</formula>
    </cfRule>
    <cfRule type="expression" dxfId="686" priority="252">
      <formula>#REF!="McQueen, Jennifer"</formula>
    </cfRule>
  </conditionalFormatting>
  <conditionalFormatting sqref="I34">
    <cfRule type="expression" dxfId="685" priority="751">
      <formula>#REF!="Benzick, Sue"</formula>
    </cfRule>
    <cfRule type="expression" dxfId="684" priority="752">
      <formula>#REF!="Jenne, Richard"</formula>
    </cfRule>
  </conditionalFormatting>
  <conditionalFormatting sqref="I39">
    <cfRule type="expression" dxfId="683" priority="694">
      <formula>#REF!="Benzick, Sue"</formula>
    </cfRule>
    <cfRule type="expression" dxfId="682" priority="695">
      <formula>#REF!="Jenne, Richard"</formula>
    </cfRule>
    <cfRule type="expression" dxfId="681" priority="696">
      <formula>#REF!="McQueen, Jennifer"</formula>
    </cfRule>
  </conditionalFormatting>
  <conditionalFormatting sqref="I42">
    <cfRule type="expression" dxfId="680" priority="658">
      <formula>#REF!="Benzick, Sue"</formula>
    </cfRule>
    <cfRule type="expression" dxfId="679" priority="659">
      <formula>#REF!="Jenne, Richard"</formula>
    </cfRule>
    <cfRule type="expression" dxfId="678" priority="660">
      <formula>#REF!="McQueen, Jennifer"</formula>
    </cfRule>
  </conditionalFormatting>
  <conditionalFormatting sqref="I45">
    <cfRule type="expression" dxfId="677" priority="619">
      <formula>#REF!="Benzick, Sue"</formula>
    </cfRule>
    <cfRule type="expression" dxfId="676" priority="620">
      <formula>#REF!="Jenne, Richard"</formula>
    </cfRule>
  </conditionalFormatting>
  <conditionalFormatting sqref="I47">
    <cfRule type="expression" dxfId="675" priority="589">
      <formula>#REF!="Benzick, Sue"</formula>
    </cfRule>
    <cfRule type="expression" dxfId="674" priority="590">
      <formula>#REF!="Jenne, Richard"</formula>
    </cfRule>
  </conditionalFormatting>
  <conditionalFormatting sqref="I69">
    <cfRule type="expression" dxfId="673" priority="364">
      <formula>#REF!="Benzick, Sue"</formula>
    </cfRule>
    <cfRule type="expression" dxfId="672" priority="365">
      <formula>#REF!="Jenne, Richard"</formula>
    </cfRule>
  </conditionalFormatting>
  <conditionalFormatting sqref="I74">
    <cfRule type="expression" dxfId="671" priority="310">
      <formula>#REF!="Benzick, Sue"</formula>
    </cfRule>
    <cfRule type="expression" dxfId="670" priority="311">
      <formula>#REF!="Jenne, Richard"</formula>
    </cfRule>
    <cfRule type="expression" dxfId="669" priority="312">
      <formula>#REF!="McQueen, Jennifer"</formula>
    </cfRule>
  </conditionalFormatting>
  <conditionalFormatting sqref="I24:N24">
    <cfRule type="expression" dxfId="668" priority="859">
      <formula>#REF!="Benzick, Sue"</formula>
    </cfRule>
    <cfRule type="expression" dxfId="667" priority="860">
      <formula>#REF!="Jenne, Richard"</formula>
    </cfRule>
    <cfRule type="expression" dxfId="666" priority="861">
      <formula>#REF!="McQueen, Jennifer"</formula>
    </cfRule>
  </conditionalFormatting>
  <conditionalFormatting sqref="I28:N28">
    <cfRule type="expression" dxfId="665" priority="811">
      <formula>#REF!="Benzick, Sue"</formula>
    </cfRule>
    <cfRule type="expression" dxfId="664" priority="812">
      <formula>#REF!="Jenne, Richard"</formula>
    </cfRule>
    <cfRule type="expression" dxfId="663" priority="813">
      <formula>#REF!="McQueen, Jennifer"</formula>
    </cfRule>
  </conditionalFormatting>
  <conditionalFormatting sqref="I31:N31">
    <cfRule type="expression" dxfId="662" priority="778">
      <formula>#REF!="Benzick, Sue"</formula>
    </cfRule>
    <cfRule type="expression" dxfId="661" priority="779">
      <formula>#REF!="Jenne, Richard"</formula>
    </cfRule>
    <cfRule type="expression" dxfId="660" priority="780">
      <formula>#REF!="McQueen, Jennifer"</formula>
    </cfRule>
  </conditionalFormatting>
  <conditionalFormatting sqref="I33:N33">
    <cfRule type="expression" dxfId="659" priority="760">
      <formula>#REF!="Benzick, Sue"</formula>
    </cfRule>
    <cfRule type="expression" dxfId="658" priority="761">
      <formula>#REF!="Jenne, Richard"</formula>
    </cfRule>
    <cfRule type="expression" dxfId="657" priority="762">
      <formula>#REF!="McQueen, Jennifer"</formula>
    </cfRule>
  </conditionalFormatting>
  <conditionalFormatting sqref="I35:N35">
    <cfRule type="expression" dxfId="656" priority="739">
      <formula>#REF!="Benzick, Sue"</formula>
    </cfRule>
    <cfRule type="expression" dxfId="655" priority="740">
      <formula>#REF!="Jenne, Richard"</formula>
    </cfRule>
    <cfRule type="expression" dxfId="654" priority="741">
      <formula>#REF!="McQueen, Jennifer"</formula>
    </cfRule>
  </conditionalFormatting>
  <conditionalFormatting sqref="I38:N38">
    <cfRule type="expression" dxfId="653" priority="706">
      <formula>#REF!="Benzick, Sue"</formula>
    </cfRule>
    <cfRule type="expression" dxfId="652" priority="707">
      <formula>#REF!="Jenne, Richard"</formula>
    </cfRule>
  </conditionalFormatting>
  <conditionalFormatting sqref="I43:N43">
    <cfRule type="expression" dxfId="651" priority="643">
      <formula>#REF!="Benzick, Sue"</formula>
    </cfRule>
    <cfRule type="expression" dxfId="650" priority="644">
      <formula>#REF!="Jenne, Richard"</formula>
    </cfRule>
    <cfRule type="expression" dxfId="649" priority="645">
      <formula>#REF!="McQueen, Jennifer"</formula>
    </cfRule>
  </conditionalFormatting>
  <conditionalFormatting sqref="I48:N49">
    <cfRule type="expression" dxfId="648" priority="565">
      <formula>#REF!="Benzick, Sue"</formula>
    </cfRule>
    <cfRule type="expression" dxfId="647" priority="566">
      <formula>#REF!="Jenne, Richard"</formula>
    </cfRule>
    <cfRule type="expression" dxfId="646" priority="567">
      <formula>#REF!="McQueen, Jennifer"</formula>
    </cfRule>
  </conditionalFormatting>
  <conditionalFormatting sqref="I51:N52">
    <cfRule type="expression" dxfId="645" priority="532">
      <formula>#REF!="Benzick, Sue"</formula>
    </cfRule>
    <cfRule type="expression" dxfId="644" priority="533">
      <formula>#REF!="Jenne, Richard"</formula>
    </cfRule>
    <cfRule type="expression" dxfId="643" priority="534">
      <formula>#REF!="McQueen, Jennifer"</formula>
    </cfRule>
  </conditionalFormatting>
  <conditionalFormatting sqref="I55:N55">
    <cfRule type="expression" dxfId="642" priority="505">
      <formula>#REF!="Benzick, Sue"</formula>
    </cfRule>
    <cfRule type="expression" dxfId="641" priority="506">
      <formula>#REF!="Jenne, Richard"</formula>
    </cfRule>
    <cfRule type="expression" dxfId="640" priority="507">
      <formula>#REF!="McQueen, Jennifer"</formula>
    </cfRule>
  </conditionalFormatting>
  <conditionalFormatting sqref="I58:N58">
    <cfRule type="expression" dxfId="639" priority="475">
      <formula>#REF!="Benzick, Sue"</formula>
    </cfRule>
    <cfRule type="expression" dxfId="638" priority="476">
      <formula>#REF!="Jenne, Richard"</formula>
    </cfRule>
    <cfRule type="expression" dxfId="637" priority="477">
      <formula>#REF!="McQueen, Jennifer"</formula>
    </cfRule>
  </conditionalFormatting>
  <conditionalFormatting sqref="I60:N60">
    <cfRule type="expression" dxfId="636" priority="448">
      <formula>#REF!="Benzick, Sue"</formula>
    </cfRule>
    <cfRule type="expression" dxfId="635" priority="449">
      <formula>#REF!="Jenne, Richard"</formula>
    </cfRule>
  </conditionalFormatting>
  <conditionalFormatting sqref="I63:N63">
    <cfRule type="expression" dxfId="634" priority="415">
      <formula>#REF!="Benzick, Sue"</formula>
    </cfRule>
    <cfRule type="expression" dxfId="633" priority="416">
      <formula>#REF!="Jenne, Richard"</formula>
    </cfRule>
    <cfRule type="expression" dxfId="632" priority="417">
      <formula>#REF!="McQueen, Jennifer"</formula>
    </cfRule>
  </conditionalFormatting>
  <conditionalFormatting sqref="I66:N66">
    <cfRule type="expression" dxfId="631" priority="388">
      <formula>#REF!="Benzick, Sue"</formula>
    </cfRule>
    <cfRule type="expression" dxfId="630" priority="389">
      <formula>#REF!="Jenne, Richard"</formula>
    </cfRule>
    <cfRule type="expression" dxfId="629" priority="390">
      <formula>#REF!="McQueen, Jennifer"</formula>
    </cfRule>
  </conditionalFormatting>
  <conditionalFormatting sqref="I68:N68">
    <cfRule type="expression" dxfId="628" priority="379">
      <formula>#REF!="Benzick, Sue"</formula>
    </cfRule>
    <cfRule type="expression" dxfId="627" priority="380">
      <formula>#REF!="Jenne, Richard"</formula>
    </cfRule>
    <cfRule type="expression" dxfId="626" priority="381">
      <formula>#REF!="McQueen, Jennifer"</formula>
    </cfRule>
  </conditionalFormatting>
  <conditionalFormatting sqref="I72:N73">
    <cfRule type="expression" dxfId="625" priority="322">
      <formula>#REF!="Benzick, Sue"</formula>
    </cfRule>
    <cfRule type="expression" dxfId="624" priority="323">
      <formula>#REF!="Jenne, Richard"</formula>
    </cfRule>
    <cfRule type="expression" dxfId="623" priority="324">
      <formula>#REF!="McQueen, Jennifer"</formula>
    </cfRule>
  </conditionalFormatting>
  <conditionalFormatting sqref="J10:N11 Y10:Y11">
    <cfRule type="expression" dxfId="622" priority="1003">
      <formula>$X10="Benzick, Sue"</formula>
    </cfRule>
    <cfRule type="expression" dxfId="621" priority="1004">
      <formula>$X10="Jenne, Richard"</formula>
    </cfRule>
    <cfRule type="expression" dxfId="620" priority="1005">
      <formula>$X10="McQueen, Jennifer"</formula>
    </cfRule>
  </conditionalFormatting>
  <conditionalFormatting sqref="J25:N25 S25:T25">
    <cfRule type="expression" dxfId="619" priority="853">
      <formula>$X25="Benzick, Sue"</formula>
    </cfRule>
    <cfRule type="expression" dxfId="618" priority="854">
      <formula>$X25="Jenne, Richard"</formula>
    </cfRule>
    <cfRule type="expression" dxfId="617" priority="855">
      <formula>$X25="McQueen, Jennifer"</formula>
    </cfRule>
  </conditionalFormatting>
  <conditionalFormatting sqref="J40:N40">
    <cfRule type="expression" dxfId="616" priority="685">
      <formula>$Y40="Benzick, Sue"</formula>
    </cfRule>
    <cfRule type="expression" dxfId="615" priority="686">
      <formula>$Y40="Jenne, Richard"</formula>
    </cfRule>
    <cfRule type="expression" dxfId="614" priority="687">
      <formula>$Y40="McQueen, Jennifer"</formula>
    </cfRule>
  </conditionalFormatting>
  <conditionalFormatting sqref="J45:N45">
    <cfRule type="expression" dxfId="613" priority="625">
      <formula>$X45="Benzick, Sue"</formula>
    </cfRule>
    <cfRule type="expression" dxfId="612" priority="626">
      <formula>$X45="Jenne, Richard"</formula>
    </cfRule>
    <cfRule type="expression" dxfId="611" priority="627">
      <formula>$X45="McQueen, Jennifer"</formula>
    </cfRule>
  </conditionalFormatting>
  <conditionalFormatting sqref="J19:O19">
    <cfRule type="expression" dxfId="610" priority="910">
      <formula>$X19="Benzick, Sue"</formula>
    </cfRule>
    <cfRule type="expression" dxfId="609" priority="911">
      <formula>$X19="Jenne, Richard"</formula>
    </cfRule>
    <cfRule type="expression" dxfId="608" priority="912">
      <formula>$X19="McQueen, Jennifer"</formula>
    </cfRule>
  </conditionalFormatting>
  <conditionalFormatting sqref="J42:O42">
    <cfRule type="expression" dxfId="607" priority="664">
      <formula>$X42="Benzick, Sue"</formula>
    </cfRule>
    <cfRule type="expression" dxfId="606" priority="665">
      <formula>$X42="Jenne, Richard"</formula>
    </cfRule>
    <cfRule type="expression" dxfId="605" priority="666">
      <formula>$X42="McQueen, Jennifer"</formula>
    </cfRule>
  </conditionalFormatting>
  <conditionalFormatting sqref="O15:O16">
    <cfRule type="expression" dxfId="604" priority="964">
      <formula>$X15="Benzick, Sue"</formula>
    </cfRule>
    <cfRule type="expression" dxfId="603" priority="965">
      <formula>$X15="Jenne, Richard"</formula>
    </cfRule>
    <cfRule type="expression" dxfId="602" priority="966">
      <formula>$X15="McQueen, Jennifer"</formula>
    </cfRule>
  </conditionalFormatting>
  <conditionalFormatting sqref="O41">
    <cfRule type="expression" dxfId="601" priority="676">
      <formula>$X41="Benzick, Sue"</formula>
    </cfRule>
    <cfRule type="expression" dxfId="600" priority="677">
      <formula>$X41="Jenne, Richard"</formula>
    </cfRule>
    <cfRule type="expression" dxfId="599" priority="678">
      <formula>$X41="McQueen, Jennifer"</formula>
    </cfRule>
  </conditionalFormatting>
  <conditionalFormatting sqref="O43:O44">
    <cfRule type="expression" dxfId="598" priority="637">
      <formula>$X43="Benzick, Sue"</formula>
    </cfRule>
    <cfRule type="expression" dxfId="597" priority="638">
      <formula>$X43="Jenne, Richard"</formula>
    </cfRule>
    <cfRule type="expression" dxfId="596" priority="639">
      <formula>$X43="McQueen, Jennifer"</formula>
    </cfRule>
  </conditionalFormatting>
  <conditionalFormatting sqref="O73 Q73:R73">
    <cfRule type="expression" dxfId="595" priority="325">
      <formula>$X73="Benzick, Sue"</formula>
    </cfRule>
    <cfRule type="expression" dxfId="594" priority="326">
      <formula>$X73="Jenne, Richard"</formula>
    </cfRule>
    <cfRule type="expression" dxfId="593" priority="327">
      <formula>$X73="McQueen, Jennifer"</formula>
    </cfRule>
  </conditionalFormatting>
  <conditionalFormatting sqref="O79 S79:T79">
    <cfRule type="expression" dxfId="592" priority="262">
      <formula>$X79="Benzick, Sue"</formula>
    </cfRule>
    <cfRule type="expression" dxfId="591" priority="263">
      <formula>$X79="Jenne, Richard"</formula>
    </cfRule>
    <cfRule type="expression" dxfId="590" priority="264">
      <formula>$X79="McQueen, Jennifer"</formula>
    </cfRule>
  </conditionalFormatting>
  <conditionalFormatting sqref="O112 X112:Y112">
    <cfRule type="expression" dxfId="589" priority="181">
      <formula>$X112="Benzick, Sue"</formula>
    </cfRule>
    <cfRule type="expression" dxfId="588" priority="182">
      <formula>$X112="Jenne, Richard"</formula>
    </cfRule>
    <cfRule type="expression" dxfId="587" priority="183">
      <formula>$X112="McQueen, Jennifer"</formula>
    </cfRule>
  </conditionalFormatting>
  <conditionalFormatting sqref="O20:P20">
    <cfRule type="expression" dxfId="586" priority="898">
      <formula>$Y20="Benzick, Sue"</formula>
    </cfRule>
    <cfRule type="expression" dxfId="585" priority="899">
      <formula>$Y20="Jenne, Richard"</formula>
    </cfRule>
    <cfRule type="expression" dxfId="584" priority="900">
      <formula>$Y20="McQueen, Jennifer"</formula>
    </cfRule>
  </conditionalFormatting>
  <conditionalFormatting sqref="O50:P50">
    <cfRule type="expression" dxfId="583" priority="556">
      <formula>$Y50="Benzick, Sue"</formula>
    </cfRule>
    <cfRule type="expression" dxfId="582" priority="557">
      <formula>$Y50="Jenne, Richard"</formula>
    </cfRule>
    <cfRule type="expression" dxfId="581" priority="558">
      <formula>$Y50="McQueen, Jennifer"</formula>
    </cfRule>
  </conditionalFormatting>
  <conditionalFormatting sqref="P16">
    <cfRule type="expression" dxfId="580" priority="961">
      <formula>$Y16="Benzick, Sue"</formula>
    </cfRule>
    <cfRule type="expression" dxfId="579" priority="962">
      <formula>$Y16="Jenne, Richard"</formula>
    </cfRule>
    <cfRule type="expression" dxfId="578" priority="963">
      <formula>$Y16="McQueen, Jennifer"</formula>
    </cfRule>
  </conditionalFormatting>
  <conditionalFormatting sqref="P59:P60 A60:B60 S60:U60">
    <cfRule type="expression" dxfId="577" priority="451">
      <formula>$Y59="Benzick, Sue"</formula>
    </cfRule>
    <cfRule type="expression" dxfId="576" priority="452">
      <formula>$Y59="Jenne, Richard"</formula>
    </cfRule>
    <cfRule type="expression" dxfId="575" priority="453">
      <formula>$Y59="McQueen, Jennifer"</formula>
    </cfRule>
  </conditionalFormatting>
  <conditionalFormatting sqref="P119">
    <cfRule type="expression" dxfId="574" priority="121">
      <formula>$X119="Benzick, Sue"</formula>
    </cfRule>
    <cfRule type="expression" dxfId="573" priority="122">
      <formula>$X119="Jenne, Richard"</formula>
    </cfRule>
    <cfRule type="expression" dxfId="572" priority="123">
      <formula>$X119="McQueen, Jennifer"</formula>
    </cfRule>
  </conditionalFormatting>
  <conditionalFormatting sqref="P123 X123:Y123">
    <cfRule type="expression" dxfId="571" priority="79">
      <formula>$X123="Benzick, Sue"</formula>
    </cfRule>
    <cfRule type="expression" dxfId="570" priority="80">
      <formula>$X123="Jenne, Richard"</formula>
    </cfRule>
    <cfRule type="expression" dxfId="569" priority="81">
      <formula>$X123="McQueen, Jennifer"</formula>
    </cfRule>
  </conditionalFormatting>
  <conditionalFormatting sqref="Q17:R17">
    <cfRule type="expression" dxfId="568" priority="949">
      <formula>$X17="Benzick, Sue"</formula>
    </cfRule>
    <cfRule type="expression" dxfId="567" priority="950">
      <formula>$X17="Jenne, Richard"</formula>
    </cfRule>
    <cfRule type="expression" dxfId="566" priority="951">
      <formula>$X17="McQueen, Jennifer"</formula>
    </cfRule>
  </conditionalFormatting>
  <conditionalFormatting sqref="Q34:R35">
    <cfRule type="expression" dxfId="565" priority="742">
      <formula>$X34="Benzick, Sue"</formula>
    </cfRule>
    <cfRule type="expression" dxfId="564" priority="743">
      <formula>$X34="Jenne, Richard"</formula>
    </cfRule>
    <cfRule type="expression" dxfId="563" priority="744">
      <formula>$X34="McQueen, Jennifer"</formula>
    </cfRule>
  </conditionalFormatting>
  <conditionalFormatting sqref="S14:S18 J18:N18">
    <cfRule type="expression" dxfId="562" priority="931">
      <formula>$Y14="Benzick, Sue"</formula>
    </cfRule>
    <cfRule type="expression" dxfId="561" priority="932">
      <formula>$Y14="Jenne, Richard"</formula>
    </cfRule>
    <cfRule type="expression" dxfId="560" priority="933">
      <formula>$Y14="McQueen, Jennifer"</formula>
    </cfRule>
  </conditionalFormatting>
  <conditionalFormatting sqref="S26:S28 P28">
    <cfRule type="expression" dxfId="559" priority="814">
      <formula>$Y26="Benzick, Sue"</formula>
    </cfRule>
    <cfRule type="expression" dxfId="558" priority="815">
      <formula>$Y26="Jenne, Richard"</formula>
    </cfRule>
    <cfRule type="expression" dxfId="557" priority="816">
      <formula>$Y26="McQueen, Jennifer"</formula>
    </cfRule>
  </conditionalFormatting>
  <conditionalFormatting sqref="S39:S42">
    <cfRule type="expression" dxfId="556" priority="661">
      <formula>$Y39="Benzick, Sue"</formula>
    </cfRule>
    <cfRule type="expression" dxfId="555" priority="662">
      <formula>$Y39="Jenne, Richard"</formula>
    </cfRule>
    <cfRule type="expression" dxfId="554" priority="663">
      <formula>$Y39="McQueen, Jennifer"</formula>
    </cfRule>
  </conditionalFormatting>
  <conditionalFormatting sqref="S62">
    <cfRule type="expression" dxfId="553" priority="427">
      <formula>$Y62="Benzick, Sue"</formula>
    </cfRule>
    <cfRule type="expression" dxfId="552" priority="428">
      <formula>$Y62="Jenne, Richard"</formula>
    </cfRule>
    <cfRule type="expression" dxfId="551" priority="429">
      <formula>$Y62="McQueen, Jennifer"</formula>
    </cfRule>
  </conditionalFormatting>
  <conditionalFormatting sqref="S74">
    <cfRule type="expression" dxfId="550" priority="313">
      <formula>$Y74="Benzick, Sue"</formula>
    </cfRule>
    <cfRule type="expression" dxfId="549" priority="314">
      <formula>$Y74="Jenne, Richard"</formula>
    </cfRule>
    <cfRule type="expression" dxfId="548" priority="315">
      <formula>$Y74="McQueen, Jennifer"</formula>
    </cfRule>
  </conditionalFormatting>
  <conditionalFormatting sqref="S68:T69 J69:N69">
    <cfRule type="expression" dxfId="547" priority="370">
      <formula>$X68="Benzick, Sue"</formula>
    </cfRule>
    <cfRule type="expression" dxfId="546" priority="371">
      <formula>$X68="Jenne, Richard"</formula>
    </cfRule>
    <cfRule type="expression" dxfId="545" priority="372">
      <formula>$X68="McQueen, Jennifer"</formula>
    </cfRule>
  </conditionalFormatting>
  <conditionalFormatting sqref="S43:U49 A48:A49">
    <cfRule type="expression" dxfId="544" priority="568">
      <formula>$Y43="Benzick, Sue"</formula>
    </cfRule>
    <cfRule type="expression" dxfId="543" priority="569">
      <formula>$Y43="Jenne, Richard"</formula>
    </cfRule>
    <cfRule type="expression" dxfId="542" priority="570">
      <formula>$Y43="McQueen, Jennifer"</formula>
    </cfRule>
  </conditionalFormatting>
  <conditionalFormatting sqref="T76">
    <cfRule type="expression" dxfId="541" priority="286">
      <formula>$X76="Benzick, Sue"</formula>
    </cfRule>
    <cfRule type="expression" dxfId="540" priority="287">
      <formula>$X76="Jenne, Richard"</formula>
    </cfRule>
    <cfRule type="expression" dxfId="539" priority="288">
      <formula>$X76="McQueen, Jennifer"</formula>
    </cfRule>
  </conditionalFormatting>
  <conditionalFormatting sqref="T78">
    <cfRule type="expression" dxfId="538" priority="265">
      <formula>$X78="Benzick, Sue"</formula>
    </cfRule>
    <cfRule type="expression" dxfId="537" priority="266">
      <formula>$X78="Jenne, Richard"</formula>
    </cfRule>
    <cfRule type="expression" dxfId="536" priority="267">
      <formula>$X78="McQueen, Jennifer"</formula>
    </cfRule>
  </conditionalFormatting>
  <conditionalFormatting sqref="T80">
    <cfRule type="expression" dxfId="535" priority="244">
      <formula>$X80="Benzick, Sue"</formula>
    </cfRule>
    <cfRule type="expression" dxfId="534" priority="245">
      <formula>$X80="Jenne, Richard"</formula>
    </cfRule>
    <cfRule type="expression" dxfId="533" priority="246">
      <formula>$X80="McQueen, Jennifer"</formula>
    </cfRule>
  </conditionalFormatting>
  <conditionalFormatting sqref="T108">
    <cfRule type="expression" dxfId="532" priority="5201">
      <formula>$X118="Benzick, Sue"</formula>
    </cfRule>
    <cfRule type="expression" dxfId="531" priority="5202">
      <formula>$X118="Jenne, Richard"</formula>
    </cfRule>
    <cfRule type="expression" dxfId="530" priority="5203">
      <formula>$X118="McQueen, Jennifer"</formula>
    </cfRule>
  </conditionalFormatting>
  <conditionalFormatting sqref="T126">
    <cfRule type="expression" dxfId="529" priority="61">
      <formula>$X126="Benzick, Sue"</formula>
    </cfRule>
    <cfRule type="expression" dxfId="528" priority="62">
      <formula>$X126="Jenne, Richard"</formula>
    </cfRule>
    <cfRule type="expression" dxfId="527" priority="63">
      <formula>$X126="McQueen, Jennifer"</formula>
    </cfRule>
  </conditionalFormatting>
  <conditionalFormatting sqref="W25:Y25">
    <cfRule type="expression" dxfId="526" priority="847">
      <formula>$AC25="Benzick, Sue"</formula>
    </cfRule>
    <cfRule type="expression" dxfId="525" priority="848">
      <formula>$AC25="Jenne, Richard"</formula>
    </cfRule>
    <cfRule type="expression" dxfId="524" priority="849">
      <formula>$AC25="McQueen, Jennifer"</formula>
    </cfRule>
  </conditionalFormatting>
  <conditionalFormatting sqref="W58:Y58">
    <cfRule type="expression" dxfId="523" priority="472">
      <formula>$AC58="Benzick, Sue"</formula>
    </cfRule>
    <cfRule type="expression" dxfId="522" priority="473">
      <formula>$AC58="Jenne, Richard"</formula>
    </cfRule>
    <cfRule type="expression" dxfId="521" priority="474">
      <formula>$AC58="McQueen, Jennifer"</formula>
    </cfRule>
  </conditionalFormatting>
  <conditionalFormatting sqref="X14:Y19">
    <cfRule type="expression" dxfId="520" priority="919">
      <formula>$X14="Benzick, Sue"</formula>
    </cfRule>
    <cfRule type="expression" dxfId="519" priority="920">
      <formula>$X14="Jenne, Richard"</formula>
    </cfRule>
    <cfRule type="expression" dxfId="518" priority="921">
      <formula>$X14="McQueen, Jennifer"</formula>
    </cfRule>
  </conditionalFormatting>
  <conditionalFormatting sqref="X26:Y30 J30:N30">
    <cfRule type="expression" dxfId="517" priority="793">
      <formula>$X26="Benzick, Sue"</formula>
    </cfRule>
    <cfRule type="expression" dxfId="516" priority="794">
      <formula>$X26="Jenne, Richard"</formula>
    </cfRule>
    <cfRule type="expression" dxfId="515" priority="795">
      <formula>$X26="McQueen, Jennifer"</formula>
    </cfRule>
  </conditionalFormatting>
  <conditionalFormatting sqref="X34:Y49 O46:O49">
    <cfRule type="expression" dxfId="514" priority="571">
      <formula>$X34="Benzick, Sue"</formula>
    </cfRule>
    <cfRule type="expression" dxfId="513" priority="572">
      <formula>$X34="Jenne, Richard"</formula>
    </cfRule>
    <cfRule type="expression" dxfId="512" priority="573">
      <formula>$X34="McQueen, Jennifer"</formula>
    </cfRule>
  </conditionalFormatting>
  <conditionalFormatting sqref="X59:Y60 O60">
    <cfRule type="expression" dxfId="511" priority="454">
      <formula>$X59="Benzick, Sue"</formula>
    </cfRule>
    <cfRule type="expression" dxfId="510" priority="455">
      <formula>$X59="Jenne, Richard"</formula>
    </cfRule>
    <cfRule type="expression" dxfId="509" priority="456">
      <formula>$X59="McQueen, Jennifer"</formula>
    </cfRule>
  </conditionalFormatting>
  <conditionalFormatting sqref="X68:Y69">
    <cfRule type="expression" dxfId="508" priority="358">
      <formula>$AC68="Benzick, Sue"</formula>
    </cfRule>
    <cfRule type="expression" dxfId="507" priority="359">
      <formula>$AC68="Jenne, Richard"</formula>
    </cfRule>
    <cfRule type="expression" dxfId="506" priority="360">
      <formula>$AC68="McQueen, Jennifer"</formula>
    </cfRule>
  </conditionalFormatting>
  <conditionalFormatting sqref="X73:Y75">
    <cfRule type="expression" dxfId="505" priority="304">
      <formula>$X73="Benzick, Sue"</formula>
    </cfRule>
    <cfRule type="expression" dxfId="504" priority="305">
      <formula>$X73="Jenne, Richard"</formula>
    </cfRule>
    <cfRule type="expression" dxfId="503" priority="306">
      <formula>$X73="McQueen, Jennifer"</formula>
    </cfRule>
  </conditionalFormatting>
  <conditionalFormatting sqref="X76:Y76">
    <cfRule type="expression" dxfId="502" priority="289">
      <formula>$AC76="Benzick, Sue"</formula>
    </cfRule>
    <cfRule type="expression" dxfId="501" priority="290">
      <formula>$AC76="Jenne, Richard"</formula>
    </cfRule>
    <cfRule type="expression" dxfId="500" priority="291">
      <formula>$AC76="McQueen, Jennifer"</formula>
    </cfRule>
  </conditionalFormatting>
  <conditionalFormatting sqref="X79:Y79">
    <cfRule type="expression" dxfId="499" priority="253">
      <formula>$AC79="Benzick, Sue"</formula>
    </cfRule>
    <cfRule type="expression" dxfId="498" priority="254">
      <formula>$AC79="Jenne, Richard"</formula>
    </cfRule>
    <cfRule type="expression" dxfId="497" priority="255">
      <formula>$AC79="McQueen, Jennifer"</formula>
    </cfRule>
  </conditionalFormatting>
  <conditionalFormatting sqref="X118:Y120 J120:N120">
    <cfRule type="expression" dxfId="496" priority="109">
      <formula>$X118="Benzick, Sue"</formula>
    </cfRule>
    <cfRule type="expression" dxfId="495" priority="110">
      <formula>$X118="Jenne, Richard"</formula>
    </cfRule>
    <cfRule type="expression" dxfId="494" priority="111">
      <formula>$X118="McQueen, Jennifer"</formula>
    </cfRule>
  </conditionalFormatting>
  <conditionalFormatting sqref="X127:Y128 E128 Q128:R128">
    <cfRule type="expression" dxfId="493" priority="43">
      <formula>$X127="Benzick, Sue"</formula>
    </cfRule>
    <cfRule type="expression" dxfId="492" priority="44">
      <formula>$X127="Jenne, Richard"</formula>
    </cfRule>
    <cfRule type="expression" dxfId="491" priority="45">
      <formula>$X127="McQueen, Jennifer"</formula>
    </cfRule>
  </conditionalFormatting>
  <conditionalFormatting sqref="Y20:Y24">
    <cfRule type="expression" dxfId="490" priority="862">
      <formula>$X20="Benzick, Sue"</formula>
    </cfRule>
    <cfRule type="expression" dxfId="489" priority="863">
      <formula>$X20="Jenne, Richard"</formula>
    </cfRule>
    <cfRule type="expression" dxfId="488" priority="864">
      <formula>$X20="McQueen, Jennifer"</formula>
    </cfRule>
  </conditionalFormatting>
  <conditionalFormatting sqref="Y31:Y33">
    <cfRule type="expression" dxfId="487" priority="763">
      <formula>$X31="Benzick, Sue"</formula>
    </cfRule>
    <cfRule type="expression" dxfId="486" priority="764">
      <formula>$X31="Jenne, Richard"</formula>
    </cfRule>
    <cfRule type="expression" dxfId="485" priority="765">
      <formula>$X31="McQueen, Jennifer"</formula>
    </cfRule>
  </conditionalFormatting>
  <conditionalFormatting sqref="Y50:Y57">
    <cfRule type="expression" dxfId="484" priority="487">
      <formula>$X50="Benzick, Sue"</formula>
    </cfRule>
    <cfRule type="expression" dxfId="483" priority="488">
      <formula>$X50="Jenne, Richard"</formula>
    </cfRule>
    <cfRule type="expression" dxfId="482" priority="489">
      <formula>$X50="McQueen, Jennifer"</formula>
    </cfRule>
  </conditionalFormatting>
  <conditionalFormatting sqref="Y61:Y65">
    <cfRule type="expression" dxfId="481" priority="400">
      <formula>$X61="Benzick, Sue"</formula>
    </cfRule>
    <cfRule type="expression" dxfId="480" priority="401">
      <formula>$X61="Jenne, Richard"</formula>
    </cfRule>
    <cfRule type="expression" dxfId="479" priority="402">
      <formula>$X61="McQueen, Jennifer"</formula>
    </cfRule>
  </conditionalFormatting>
  <conditionalFormatting sqref="Y70:Y72">
    <cfRule type="expression" dxfId="478" priority="334">
      <formula>$X70="Benzick, Sue"</formula>
    </cfRule>
    <cfRule type="expression" dxfId="477" priority="335">
      <formula>$X70="Jenne, Richard"</formula>
    </cfRule>
    <cfRule type="expression" dxfId="476" priority="336">
      <formula>$X70="McQueen, Jennifer"</formula>
    </cfRule>
  </conditionalFormatting>
  <conditionalFormatting sqref="Y77">
    <cfRule type="expression" dxfId="475" priority="280">
      <formula>$X77="Benzick, Sue"</formula>
    </cfRule>
    <cfRule type="expression" dxfId="474" priority="281">
      <formula>$X77="Jenne, Richard"</formula>
    </cfRule>
    <cfRule type="expression" dxfId="473" priority="282">
      <formula>$X77="McQueen, Jennifer"</formula>
    </cfRule>
  </conditionalFormatting>
  <conditionalFormatting sqref="Y78">
    <cfRule type="expression" dxfId="472" priority="268">
      <formula>$AC78="Benzick, Sue"</formula>
    </cfRule>
    <cfRule type="expression" dxfId="471" priority="269">
      <formula>$AC78="Jenne, Richard"</formula>
    </cfRule>
    <cfRule type="expression" dxfId="470" priority="270">
      <formula>$AC78="McQueen, Jennifer"</formula>
    </cfRule>
  </conditionalFormatting>
  <conditionalFormatting sqref="Y80">
    <cfRule type="expression" dxfId="469" priority="247">
      <formula>$AC80="Benzick, Sue"</formula>
    </cfRule>
    <cfRule type="expression" dxfId="468" priority="248">
      <formula>$AC80="Jenne, Richard"</formula>
    </cfRule>
    <cfRule type="expression" dxfId="467" priority="249">
      <formula>$AC80="McQueen, Jennifer"</formula>
    </cfRule>
  </conditionalFormatting>
  <conditionalFormatting sqref="Y108">
    <cfRule type="expression" dxfId="466" priority="5144">
      <formula>$AC118="Benzick, Sue"</formula>
    </cfRule>
    <cfRule type="expression" dxfId="465" priority="5145">
      <formula>$AC118="Jenne, Richard"</formula>
    </cfRule>
    <cfRule type="expression" dxfId="464" priority="5146">
      <formula>$AC118="McQueen, Jennifer"</formula>
    </cfRule>
  </conditionalFormatting>
  <conditionalFormatting sqref="Y126">
    <cfRule type="expression" dxfId="463" priority="64">
      <formula>$AC126="Benzick, Sue"</formula>
    </cfRule>
    <cfRule type="expression" dxfId="462" priority="65">
      <formula>$AC126="Jenne, Richard"</formula>
    </cfRule>
    <cfRule type="expression" dxfId="461" priority="66">
      <formula>$AC126="McQueen, Jennifer"</formula>
    </cfRule>
  </conditionalFormatting>
  <conditionalFormatting sqref="Y129:Y130">
    <cfRule type="expression" dxfId="460" priority="34">
      <formula>$X129="Benzick, Sue"</formula>
    </cfRule>
    <cfRule type="expression" dxfId="459" priority="35">
      <formula>$X129="Jenne, Richard"</formula>
    </cfRule>
    <cfRule type="expression" dxfId="458" priority="36">
      <formula>$X129="McQueen, Jennifer"</formula>
    </cfRule>
  </conditionalFormatting>
  <conditionalFormatting sqref="AB120 AD120">
    <cfRule type="expression" dxfId="457" priority="112">
      <formula>$AC120="Benzick, Sue"</formula>
    </cfRule>
    <cfRule type="expression" dxfId="456" priority="113">
      <formula>$AC120="Jenne, Richard"</formula>
    </cfRule>
    <cfRule type="expression" dxfId="455" priority="114">
      <formula>$AC120="McQueen, Jennifer"</formula>
    </cfRule>
  </conditionalFormatting>
  <conditionalFormatting sqref="AB10:AD10">
    <cfRule type="expression" dxfId="454" priority="1021">
      <formula>$AC10="Benzick, Sue"</formula>
    </cfRule>
    <cfRule type="expression" dxfId="453" priority="1022">
      <formula>$AC10="Jenne, Richard"</formula>
    </cfRule>
    <cfRule type="expression" dxfId="452" priority="1023">
      <formula>$AC10="McQueen, Jennifer"</formula>
    </cfRule>
  </conditionalFormatting>
  <conditionalFormatting sqref="AB14:AD17">
    <cfRule type="expression" dxfId="451" priority="952">
      <formula>$AC14="Benzick, Sue"</formula>
    </cfRule>
    <cfRule type="expression" dxfId="450" priority="953">
      <formula>$AC14="Jenne, Richard"</formula>
    </cfRule>
    <cfRule type="expression" dxfId="449" priority="954">
      <formula>$AC14="McQueen, Jennifer"</formula>
    </cfRule>
  </conditionalFormatting>
  <conditionalFormatting sqref="AB26:AD27">
    <cfRule type="expression" dxfId="448" priority="832">
      <formula>$AC26="Benzick, Sue"</formula>
    </cfRule>
    <cfRule type="expression" dxfId="447" priority="833">
      <formula>$AC26="Jenne, Richard"</formula>
    </cfRule>
    <cfRule type="expression" dxfId="446" priority="834">
      <formula>$AC26="McQueen, Jennifer"</formula>
    </cfRule>
  </conditionalFormatting>
  <conditionalFormatting sqref="AB34:AD39">
    <cfRule type="expression" dxfId="445" priority="703">
      <formula>$AC34="Benzick, Sue"</formula>
    </cfRule>
    <cfRule type="expression" dxfId="444" priority="704">
      <formula>$AC34="Jenne, Richard"</formula>
    </cfRule>
    <cfRule type="expression" dxfId="443" priority="705">
      <formula>$AC34="McQueen, Jennifer"</formula>
    </cfRule>
  </conditionalFormatting>
  <conditionalFormatting sqref="AB59:AD59">
    <cfRule type="expression" dxfId="442" priority="469">
      <formula>$AC59="Benzick, Sue"</formula>
    </cfRule>
    <cfRule type="expression" dxfId="441" priority="470">
      <formula>$AC59="Jenne, Richard"</formula>
    </cfRule>
    <cfRule type="expression" dxfId="440" priority="471">
      <formula>$AC59="McQueen, Jennifer"</formula>
    </cfRule>
  </conditionalFormatting>
  <conditionalFormatting sqref="AB66:AD66">
    <cfRule type="expression" dxfId="439" priority="397">
      <formula>$AC66="Benzick, Sue"</formula>
    </cfRule>
    <cfRule type="expression" dxfId="438" priority="398">
      <formula>$AC66="Jenne, Richard"</formula>
    </cfRule>
    <cfRule type="expression" dxfId="437" priority="399">
      <formula>$AC66="McQueen, Jennifer"</formula>
    </cfRule>
  </conditionalFormatting>
  <conditionalFormatting sqref="AB73:AD74">
    <cfRule type="expression" dxfId="436" priority="319">
      <formula>$AC73="Benzick, Sue"</formula>
    </cfRule>
    <cfRule type="expression" dxfId="435" priority="320">
      <formula>$AC73="Jenne, Richard"</formula>
    </cfRule>
    <cfRule type="expression" dxfId="434" priority="321">
      <formula>$AC73="McQueen, Jennifer"</formula>
    </cfRule>
  </conditionalFormatting>
  <conditionalFormatting sqref="AB112:AD112">
    <cfRule type="expression" dxfId="433" priority="184">
      <formula>$AC112="Benzick, Sue"</formula>
    </cfRule>
    <cfRule type="expression" dxfId="432" priority="185">
      <formula>$AC112="Jenne, Richard"</formula>
    </cfRule>
    <cfRule type="expression" dxfId="431" priority="186">
      <formula>$AC112="McQueen, Jennifer"</formula>
    </cfRule>
  </conditionalFormatting>
  <conditionalFormatting sqref="AB118:AD119">
    <cfRule type="expression" dxfId="430" priority="124">
      <formula>$AC118="Benzick, Sue"</formula>
    </cfRule>
    <cfRule type="expression" dxfId="429" priority="125">
      <formula>$AC118="Jenne, Richard"</formula>
    </cfRule>
    <cfRule type="expression" dxfId="428" priority="126">
      <formula>$AC118="McQueen, Jennifer"</formula>
    </cfRule>
  </conditionalFormatting>
  <conditionalFormatting sqref="AB123:AD123">
    <cfRule type="expression" dxfId="427" priority="82">
      <formula>$AC123="Benzick, Sue"</formula>
    </cfRule>
    <cfRule type="expression" dxfId="426" priority="83">
      <formula>$AC123="Jenne, Richard"</formula>
    </cfRule>
    <cfRule type="expression" dxfId="425" priority="84">
      <formula>$AC123="McQueen, Jennifer"</formula>
    </cfRule>
  </conditionalFormatting>
  <conditionalFormatting sqref="AB127:AD128">
    <cfRule type="expression" dxfId="424" priority="46">
      <formula>$AC127="Benzick, Sue"</formula>
    </cfRule>
    <cfRule type="expression" dxfId="423" priority="47">
      <formula>$AC127="Jenne, Richard"</formula>
    </cfRule>
    <cfRule type="expression" dxfId="422" priority="48">
      <formula>$AC127="McQueen, Jennifer"</formula>
    </cfRule>
  </conditionalFormatting>
  <conditionalFormatting sqref="AC18:AD22">
    <cfRule type="expression" dxfId="421" priority="880">
      <formula>$AC18="Benzick, Sue"</formula>
    </cfRule>
    <cfRule type="expression" dxfId="420" priority="881">
      <formula>$AC18="Jenne, Richard"</formula>
    </cfRule>
    <cfRule type="expression" dxfId="419" priority="882">
      <formula>$AC18="McQueen, Jennifer"</formula>
    </cfRule>
  </conditionalFormatting>
  <conditionalFormatting sqref="AC28:AD31">
    <cfRule type="expression" dxfId="418" priority="784">
      <formula>$AC28="Benzick, Sue"</formula>
    </cfRule>
    <cfRule type="expression" dxfId="417" priority="785">
      <formula>$AC28="Jenne, Richard"</formula>
    </cfRule>
    <cfRule type="expression" dxfId="416" priority="786">
      <formula>$AC28="McQueen, Jennifer"</formula>
    </cfRule>
  </conditionalFormatting>
  <conditionalFormatting sqref="AC40:AD55">
    <cfRule type="expression" dxfId="415" priority="511">
      <formula>$AC40="Benzick, Sue"</formula>
    </cfRule>
    <cfRule type="expression" dxfId="414" priority="512">
      <formula>$AC40="Jenne, Richard"</formula>
    </cfRule>
    <cfRule type="expression" dxfId="413" priority="513">
      <formula>$AC40="McQueen, Jennifer"</formula>
    </cfRule>
  </conditionalFormatting>
  <conditionalFormatting sqref="AC60:AD62">
    <cfRule type="expression" dxfId="412" priority="433">
      <formula>$AC60="Benzick, Sue"</formula>
    </cfRule>
    <cfRule type="expression" dxfId="411" priority="434">
      <formula>$AC60="Jenne, Richard"</formula>
    </cfRule>
    <cfRule type="expression" dxfId="410" priority="435">
      <formula>$AC60="McQueen, Jennifer"</formula>
    </cfRule>
  </conditionalFormatting>
  <conditionalFormatting sqref="AC70:AD71">
    <cfRule type="expression" dxfId="409" priority="346">
      <formula>$AC70="Benzick, Sue"</formula>
    </cfRule>
    <cfRule type="expression" dxfId="408" priority="347">
      <formula>$AC70="Jenne, Richard"</formula>
    </cfRule>
    <cfRule type="expression" dxfId="407" priority="348">
      <formula>$AC70="McQueen, Jennifer"</formula>
    </cfRule>
  </conditionalFormatting>
  <conditionalFormatting sqref="AC129:AD130">
    <cfRule type="expression" dxfId="406" priority="22">
      <formula>$AC129="Benzick, Sue"</formula>
    </cfRule>
    <cfRule type="expression" dxfId="405" priority="23">
      <formula>$AC129="Jenne, Richard"</formula>
    </cfRule>
    <cfRule type="expression" dxfId="404" priority="24">
      <formula>$AC129="McQueen, Jennifer"</formula>
    </cfRule>
  </conditionalFormatting>
  <conditionalFormatting sqref="AD11">
    <cfRule type="expression" dxfId="403" priority="1006">
      <formula>$AC11="Benzick, Sue"</formula>
    </cfRule>
    <cfRule type="expression" dxfId="402" priority="1007">
      <formula>$AC11="Jenne, Richard"</formula>
    </cfRule>
    <cfRule type="expression" dxfId="401" priority="1008">
      <formula>$AC11="McQueen, Jennifer"</formula>
    </cfRule>
  </conditionalFormatting>
  <conditionalFormatting sqref="AD23:AD24">
    <cfRule type="expression" dxfId="400" priority="865">
      <formula>$AC23="Benzick, Sue"</formula>
    </cfRule>
    <cfRule type="expression" dxfId="399" priority="866">
      <formula>$AC23="Jenne, Richard"</formula>
    </cfRule>
    <cfRule type="expression" dxfId="398" priority="867">
      <formula>$AC23="McQueen, Jennifer"</formula>
    </cfRule>
  </conditionalFormatting>
  <conditionalFormatting sqref="AD32:AD33">
    <cfRule type="expression" dxfId="397" priority="766">
      <formula>$AC32="Benzick, Sue"</formula>
    </cfRule>
    <cfRule type="expression" dxfId="396" priority="767">
      <formula>$AC32="Jenne, Richard"</formula>
    </cfRule>
    <cfRule type="expression" dxfId="395" priority="768">
      <formula>$AC32="McQueen, Jennifer"</formula>
    </cfRule>
  </conditionalFormatting>
  <conditionalFormatting sqref="AD56:AD57">
    <cfRule type="expression" dxfId="394" priority="490">
      <formula>$AC56="Benzick, Sue"</formula>
    </cfRule>
    <cfRule type="expression" dxfId="393" priority="491">
      <formula>$AC56="Jenne, Richard"</formula>
    </cfRule>
    <cfRule type="expression" dxfId="392" priority="492">
      <formula>$AC56="McQueen, Jennifer"</formula>
    </cfRule>
  </conditionalFormatting>
  <conditionalFormatting sqref="AD63:AD65">
    <cfRule type="expression" dxfId="391" priority="403">
      <formula>$AC63="Benzick, Sue"</formula>
    </cfRule>
    <cfRule type="expression" dxfId="390" priority="404">
      <formula>$AC63="Jenne, Richard"</formula>
    </cfRule>
    <cfRule type="expression" dxfId="389" priority="405">
      <formula>$AC63="McQueen, Jennifer"</formula>
    </cfRule>
  </conditionalFormatting>
  <conditionalFormatting sqref="AD72">
    <cfRule type="expression" dxfId="388" priority="337">
      <formula>$AC72="Benzick, Sue"</formula>
    </cfRule>
    <cfRule type="expression" dxfId="387" priority="338">
      <formula>$AC72="Jenne, Richard"</formula>
    </cfRule>
    <cfRule type="expression" dxfId="386" priority="339">
      <formula>$AC72="McQueen, Jennifer"</formula>
    </cfRule>
  </conditionalFormatting>
  <conditionalFormatting sqref="AD75">
    <cfRule type="expression" dxfId="385" priority="307">
      <formula>$AC75="Benzick, Sue"</formula>
    </cfRule>
    <cfRule type="expression" dxfId="384" priority="308">
      <formula>$AC75="Jenne, Richard"</formula>
    </cfRule>
    <cfRule type="expression" dxfId="383" priority="309">
      <formula>$AC75="McQueen, Jennifer"</formula>
    </cfRule>
  </conditionalFormatting>
  <conditionalFormatting sqref="AD77">
    <cfRule type="expression" dxfId="382" priority="283">
      <formula>$AC77="Benzick, Sue"</formula>
    </cfRule>
    <cfRule type="expression" dxfId="381" priority="284">
      <formula>$AC77="Jenne, Richard"</formula>
    </cfRule>
    <cfRule type="expression" dxfId="380" priority="285">
      <formula>$AC77="McQueen, Jennifer"</formula>
    </cfRule>
  </conditionalFormatting>
  <dataValidations count="4">
    <dataValidation type="list" allowBlank="1" showInputMessage="1" showErrorMessage="1" sqref="X10:X11" xr:uid="{00000000-0002-0000-0D00-000000000000}">
      <formula1>Roster</formula1>
    </dataValidation>
    <dataValidation type="list" allowBlank="1" showInputMessage="1" showErrorMessage="1" sqref="B10:B11 B14:B66 B68:B109 B112 B118:B120 B123:B130 B132:B138" xr:uid="{00000000-0002-0000-0D00-000001000000}">
      <formula1>Class</formula1>
    </dataValidation>
    <dataValidation allowBlank="1" showInputMessage="1" showErrorMessage="1" sqref="X14:X24 S25 X26:X57 S58 X59:X66 S68:S69 X70:X75 S76 X77 S78:S109 X112 X118:X120 X123 S126 X127:X129" xr:uid="{00000000-0002-0000-0D00-000002000000}"/>
    <dataValidation type="list" allowBlank="1" showInputMessage="1" showErrorMessage="1" sqref="A42 A58" xr:uid="{00000000-0002-0000-0D00-000003000000}">
      <formula1>Location</formula1>
    </dataValidation>
  </dataValidations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3845" id="{D4AD25C1-6FB5-424E-AC0F-A88214458DAA}">
            <xm:f>'FY 2024 Chron'!$V80="Benzick, Sue"</xm:f>
            <x14:dxf>
              <font>
                <b/>
                <i val="0"/>
              </font>
            </x14:dxf>
          </x14:cfRule>
          <x14:cfRule type="expression" priority="3846" id="{990DD243-A6E0-4087-9D27-888A6DEB64E6}">
            <xm:f>'FY 2024 Chron'!$V80="Jenne, Richard"</xm:f>
            <x14:dxf>
              <font>
                <b/>
                <i val="0"/>
              </font>
            </x14:dxf>
          </x14:cfRule>
          <x14:cfRule type="expression" priority="3847" id="{40D72152-17B6-4C59-8F5B-EA07ACE20FEE}">
            <xm:f>'FY 2024 Chron'!$V80="McQueen, Jennifer"</xm:f>
            <x14:dxf>
              <font>
                <b/>
                <i val="0"/>
              </font>
            </x14:dxf>
          </x14:cfRule>
          <xm:sqref>A86 S86:T86</xm:sqref>
        </x14:conditionalFormatting>
        <x14:conditionalFormatting xmlns:xm="http://schemas.microsoft.com/office/excel/2006/main">
          <x14:cfRule type="expression" priority="4358" id="{7A54DD69-25AF-4737-9DD8-EBB57C29BA12}">
            <xm:f>'FY 2024 Chron'!#REF!="Benzick, Sue"</xm:f>
            <x14:dxf>
              <font>
                <b/>
                <i val="0"/>
              </font>
            </x14:dxf>
          </x14:cfRule>
          <x14:cfRule type="expression" priority="4359" id="{ADB3E8FC-3BC8-4D11-AD86-35A7EAAD020A}">
            <xm:f>'FY 2024 Chron'!#REF!="Jenne, Richard"</xm:f>
            <x14:dxf>
              <font>
                <b/>
                <i val="0"/>
              </font>
            </x14:dxf>
          </x14:cfRule>
          <x14:cfRule type="expression" priority="4360" id="{000EFA68-24D5-48F0-9627-4E2A4BF28C49}">
            <xm:f>'FY 2024 Chron'!#REF!="McQueen, Jennifer"</xm:f>
            <x14:dxf>
              <font>
                <b/>
                <i val="0"/>
              </font>
            </x14:dxf>
          </x14:cfRule>
          <xm:sqref>A89</xm:sqref>
        </x14:conditionalFormatting>
        <x14:conditionalFormatting xmlns:xm="http://schemas.microsoft.com/office/excel/2006/main">
          <x14:cfRule type="expression" priority="5324" id="{7A54DD69-25AF-4737-9DD8-EBB57C29BA12}">
            <xm:f>'FY 2024 Chron'!#REF!="Benzick, Sue"</xm:f>
            <x14:dxf>
              <font>
                <b/>
                <i val="0"/>
              </font>
            </x14:dxf>
          </x14:cfRule>
          <x14:cfRule type="expression" priority="5325" id="{ADB3E8FC-3BC8-4D11-AD86-35A7EAAD020A}">
            <xm:f>'FY 2024 Chron'!#REF!="Jenne, Richard"</xm:f>
            <x14:dxf>
              <font>
                <b/>
                <i val="0"/>
              </font>
            </x14:dxf>
          </x14:cfRule>
          <x14:cfRule type="expression" priority="5326" id="{000EFA68-24D5-48F0-9627-4E2A4BF28C49}">
            <xm:f>'FY 2024 Chron'!#REF!="McQueen, Jennifer"</xm:f>
            <x14:dxf>
              <font>
                <b/>
                <i val="0"/>
              </font>
            </x14:dxf>
          </x14:cfRule>
          <xm:sqref>A96 O96 S96:T96 X96:Y96</xm:sqref>
        </x14:conditionalFormatting>
        <x14:conditionalFormatting xmlns:xm="http://schemas.microsoft.com/office/excel/2006/main">
          <x14:cfRule type="expression" priority="5321" id="{7A54DD69-25AF-4737-9DD8-EBB57C29BA12}">
            <xm:f>'FY 2024 Chron'!$W98="Benzick, Sue"</xm:f>
            <x14:dxf>
              <font>
                <b/>
                <i val="0"/>
              </font>
            </x14:dxf>
          </x14:cfRule>
          <x14:cfRule type="expression" priority="5322" id="{ADB3E8FC-3BC8-4D11-AD86-35A7EAAD020A}">
            <xm:f>'FY 2024 Chron'!$W98="Jenne, Richard"</xm:f>
            <x14:dxf>
              <font>
                <b/>
                <i val="0"/>
              </font>
            </x14:dxf>
          </x14:cfRule>
          <x14:cfRule type="expression" priority="5323" id="{000EFA68-24D5-48F0-9627-4E2A4BF28C49}">
            <xm:f>'FY 2024 Chron'!$W98="McQueen, Jennifer"</xm:f>
            <x14:dxf>
              <font>
                <b/>
                <i val="0"/>
              </font>
            </x14:dxf>
          </x14:cfRule>
          <xm:sqref>A97</xm:sqref>
        </x14:conditionalFormatting>
        <x14:conditionalFormatting xmlns:xm="http://schemas.microsoft.com/office/excel/2006/main">
          <x14:cfRule type="expression" priority="4643" id="{7A54DD69-25AF-4737-9DD8-EBB57C29BA12}">
            <xm:f>'FY 2024 Chron'!#REF!="Benzick, Sue"</xm:f>
            <x14:dxf>
              <font>
                <b/>
                <i val="0"/>
              </font>
            </x14:dxf>
          </x14:cfRule>
          <x14:cfRule type="expression" priority="4644" id="{ADB3E8FC-3BC8-4D11-AD86-35A7EAAD020A}">
            <xm:f>'FY 2024 Chron'!#REF!="Jenne, Richard"</xm:f>
            <x14:dxf>
              <font>
                <b/>
                <i val="0"/>
              </font>
            </x14:dxf>
          </x14:cfRule>
          <x14:cfRule type="expression" priority="4645" id="{000EFA68-24D5-48F0-9627-4E2A4BF28C49}">
            <xm:f>'FY 2024 Chron'!#REF!="McQueen, Jennifer"</xm:f>
            <x14:dxf>
              <font>
                <b/>
                <i val="0"/>
              </font>
            </x14:dxf>
          </x14:cfRule>
          <xm:sqref>A102</xm:sqref>
        </x14:conditionalFormatting>
        <x14:conditionalFormatting xmlns:xm="http://schemas.microsoft.com/office/excel/2006/main">
          <x14:cfRule type="expression" priority="235" id="{D4AD25C1-6FB5-424E-AC0F-A88214458DAA}">
            <xm:f>'FY 2024 Chron'!$V100="Benzick, Sue"</xm:f>
            <x14:dxf>
              <font>
                <b/>
                <i val="0"/>
              </font>
            </x14:dxf>
          </x14:cfRule>
          <x14:cfRule type="expression" priority="236" id="{990DD243-A6E0-4087-9D27-888A6DEB64E6}">
            <xm:f>'FY 2024 Chron'!$V100="Jenne, Richard"</xm:f>
            <x14:dxf>
              <font>
                <b/>
                <i val="0"/>
              </font>
            </x14:dxf>
          </x14:cfRule>
          <x14:cfRule type="expression" priority="237" id="{40D72152-17B6-4C59-8F5B-EA07ACE20FEE}">
            <xm:f>'FY 2024 Chron'!$V100="McQueen, Jennifer"</xm:f>
            <x14:dxf>
              <font>
                <b/>
                <i val="0"/>
              </font>
            </x14:dxf>
          </x14:cfRule>
          <xm:sqref>A103 T103:T106 T109</xm:sqref>
        </x14:conditionalFormatting>
        <x14:conditionalFormatting xmlns:xm="http://schemas.microsoft.com/office/excel/2006/main">
          <x14:cfRule type="expression" priority="4910" id="{AFC6B521-9F49-4562-8FE2-A1142DDFBF49}">
            <xm:f>'FY 2024 Chron'!#REF!="Benzick, Sue"</xm:f>
            <x14:dxf>
              <font>
                <b/>
                <i val="0"/>
              </font>
            </x14:dxf>
          </x14:cfRule>
          <x14:cfRule type="expression" priority="4911" id="{9A063264-F7BB-4EA1-B96D-E0715B3D71B8}">
            <xm:f>'FY 2024 Chron'!#REF!="Jenne, Richard"</xm:f>
            <x14:dxf>
              <font>
                <b/>
                <i val="0"/>
              </font>
            </x14:dxf>
          </x14:cfRule>
          <xm:sqref>A81:B82 E81:G82 O81:P82 W81:W82 Y81:Y82 S81:T83 E83:H83 W83:Y83 E85:H85 P85 S85:T85 W85:Y85</xm:sqref>
        </x14:conditionalFormatting>
        <x14:conditionalFormatting xmlns:xm="http://schemas.microsoft.com/office/excel/2006/main">
          <x14:cfRule type="expression" priority="4912" id="{67A585EA-81AF-4A2F-AD7F-4F715FE26A9E}">
            <xm:f>'FY 2024 Chron'!#REF!="McQueen, Jennifer"</xm:f>
            <x14:dxf>
              <font>
                <b/>
                <i val="0"/>
              </font>
            </x14:dxf>
          </x14:cfRule>
          <xm:sqref>A81:B82 W81:W82 Y81:Y82 S81:T83 W83:Y83 P85 S85:T85 W85:Y85</xm:sqref>
        </x14:conditionalFormatting>
        <x14:conditionalFormatting xmlns:xm="http://schemas.microsoft.com/office/excel/2006/main">
          <x14:cfRule type="expression" priority="4763" id="{7A54DD69-25AF-4737-9DD8-EBB57C29BA12}">
            <xm:f>'FY 2024 Chron'!$W90="Benzick, Sue"</xm:f>
            <x14:dxf>
              <font>
                <b/>
                <i val="0"/>
              </font>
            </x14:dxf>
          </x14:cfRule>
          <x14:cfRule type="expression" priority="4764" id="{ADB3E8FC-3BC8-4D11-AD86-35A7EAAD020A}">
            <xm:f>'FY 2024 Chron'!$W90="Jenne, Richard"</xm:f>
            <x14:dxf>
              <font>
                <b/>
                <i val="0"/>
              </font>
            </x14:dxf>
          </x14:cfRule>
          <x14:cfRule type="expression" priority="4765" id="{000EFA68-24D5-48F0-9627-4E2A4BF28C49}">
            <xm:f>'FY 2024 Chron'!$W90="McQueen, Jennifer"</xm:f>
            <x14:dxf>
              <font>
                <b/>
                <i val="0"/>
              </font>
            </x14:dxf>
          </x14:cfRule>
          <xm:sqref>A88:B88 E88:G88 J88:N88 P88 A90:A93 B94 A95</xm:sqref>
        </x14:conditionalFormatting>
        <x14:conditionalFormatting xmlns:xm="http://schemas.microsoft.com/office/excel/2006/main">
          <x14:cfRule type="expression" priority="232" id="{7A54DD69-25AF-4737-9DD8-EBB57C29BA12}">
            <xm:f>'FY 2024 Chron'!$W101="Benzick, Sue"</xm:f>
            <x14:dxf>
              <font>
                <b/>
                <i val="0"/>
              </font>
            </x14:dxf>
          </x14:cfRule>
          <x14:cfRule type="expression" priority="233" id="{ADB3E8FC-3BC8-4D11-AD86-35A7EAAD020A}">
            <xm:f>'FY 2024 Chron'!$W101="Jenne, Richard"</xm:f>
            <x14:dxf>
              <font>
                <b/>
                <i val="0"/>
              </font>
            </x14:dxf>
          </x14:cfRule>
          <x14:cfRule type="expression" priority="234" id="{000EFA68-24D5-48F0-9627-4E2A4BF28C49}">
            <xm:f>'FY 2024 Chron'!$W101="McQueen, Jennifer"</xm:f>
            <x14:dxf>
              <font>
                <b/>
                <i val="0"/>
              </font>
            </x14:dxf>
          </x14:cfRule>
          <xm:sqref>E104 A106 E109</xm:sqref>
        </x14:conditionalFormatting>
        <x14:conditionalFormatting xmlns:xm="http://schemas.microsoft.com/office/excel/2006/main">
          <x14:cfRule type="expression" priority="5060" id="{D4AD25C1-6FB5-424E-AC0F-A88214458DAA}">
            <xm:f>'FY 2024 Chron'!$V79="Benzick, Sue"</xm:f>
            <x14:dxf>
              <font>
                <b/>
                <i val="0"/>
              </font>
            </x14:dxf>
          </x14:cfRule>
          <x14:cfRule type="expression" priority="5061" id="{990DD243-A6E0-4087-9D27-888A6DEB64E6}">
            <xm:f>'FY 2024 Chron'!$V79="Jenne, Richard"</xm:f>
            <x14:dxf>
              <font>
                <b/>
                <i val="0"/>
              </font>
            </x14:dxf>
          </x14:cfRule>
          <x14:cfRule type="expression" priority="5062" id="{40D72152-17B6-4C59-8F5B-EA07ACE20FEE}">
            <xm:f>'FY 2024 Chron'!$V79="McQueen, Jennifer"</xm:f>
            <x14:dxf>
              <font>
                <b/>
                <i val="0"/>
              </font>
            </x14:dxf>
          </x14:cfRule>
          <xm:sqref>E84:G84 S84:T84</xm:sqref>
        </x14:conditionalFormatting>
        <x14:conditionalFormatting xmlns:xm="http://schemas.microsoft.com/office/excel/2006/main">
          <x14:cfRule type="expression" priority="229" id="{B85E1DAE-9193-4F0A-84F2-E26C87986A22}">
            <xm:f>'FY 2024 Chron'!#REF!="Benzick, Sue"</xm:f>
            <x14:dxf>
              <font>
                <b/>
                <i val="0"/>
              </font>
            </x14:dxf>
          </x14:cfRule>
          <x14:cfRule type="expression" priority="230" id="{3731D4A5-616A-4FCD-BB56-08F5E913D27A}">
            <xm:f>'FY 2024 Chron'!#REF!="Jenne, Richard"</xm:f>
            <x14:dxf>
              <font>
                <b/>
                <i val="0"/>
              </font>
            </x14:dxf>
          </x14:cfRule>
          <x14:cfRule type="expression" priority="231" id="{9F7019ED-D57A-4977-A26F-AFB555117BF6}">
            <xm:f>'FY 2024 Chron'!#REF!="McQueen, Jennifer"</xm:f>
            <x14:dxf>
              <font>
                <b/>
                <i val="0"/>
              </font>
            </x14:dxf>
          </x14:cfRule>
          <xm:sqref>E87:G87 H100:I102</xm:sqref>
        </x14:conditionalFormatting>
        <x14:conditionalFormatting xmlns:xm="http://schemas.microsoft.com/office/excel/2006/main">
          <x14:cfRule type="expression" priority="214" id="{69C44F3A-D191-4225-B111-3C2EBF8A3F64}">
            <xm:f>'FY 2024 Chron'!#REF!="Benzick, Sue"</xm:f>
            <x14:dxf>
              <font>
                <b/>
                <i val="0"/>
              </font>
            </x14:dxf>
          </x14:cfRule>
          <x14:cfRule type="expression" priority="215" id="{8C0BFBB8-D20C-42F1-B071-A3C022224601}">
            <xm:f>'FY 2024 Chron'!#REF!="Jenne, Richard"</xm:f>
            <x14:dxf>
              <font>
                <b/>
                <i val="0"/>
              </font>
            </x14:dxf>
          </x14:cfRule>
          <x14:cfRule type="expression" priority="216" id="{1965BD13-DE4F-4E50-8F50-E4B9AC344EF0}">
            <xm:f>'FY 2024 Chron'!#REF!="McQueen, Jennifer"</xm:f>
            <x14:dxf>
              <font>
                <b/>
                <i val="0"/>
              </font>
            </x14:dxf>
          </x14:cfRule>
          <xm:sqref>E89:G92</xm:sqref>
        </x14:conditionalFormatting>
        <x14:conditionalFormatting xmlns:xm="http://schemas.microsoft.com/office/excel/2006/main">
          <x14:cfRule type="expression" priority="106" id="{C1F961DD-6378-4F4A-9851-3D5445B7CBA3}">
            <xm:f>'FY 2024 Chron'!#REF!="Benzick, Sue"</xm:f>
            <x14:dxf>
              <font>
                <b/>
                <i val="0"/>
              </font>
            </x14:dxf>
          </x14:cfRule>
          <x14:cfRule type="expression" priority="107" id="{E837DF1A-AAA2-427C-ADCC-16796699A11B}">
            <xm:f>'FY 2024 Chron'!#REF!="Jenne, Richard"</xm:f>
            <x14:dxf>
              <font>
                <b/>
                <i val="0"/>
              </font>
            </x14:dxf>
          </x14:cfRule>
          <xm:sqref>E119:G120</xm:sqref>
        </x14:conditionalFormatting>
        <x14:conditionalFormatting xmlns:xm="http://schemas.microsoft.com/office/excel/2006/main">
          <x14:cfRule type="expression" priority="76" id="{96393CFC-CCDB-4E7B-ACA5-9C5A558DA383}">
            <xm:f>'FY 2024 Chron'!#REF!="Benzick, Sue"</xm:f>
            <x14:dxf>
              <font>
                <b/>
                <i val="0"/>
              </font>
            </x14:dxf>
          </x14:cfRule>
          <x14:cfRule type="expression" priority="77" id="{F4DAF363-49D7-4530-ABC3-73551A55947A}">
            <xm:f>'FY 2024 Chron'!#REF!="Jenne, Richard"</xm:f>
            <x14:dxf>
              <font>
                <b/>
                <i val="0"/>
              </font>
            </x14:dxf>
          </x14:cfRule>
          <x14:cfRule type="expression" priority="78" id="{C7155ABF-9C74-4389-A009-6AEDEFF7A5DA}">
            <xm:f>'FY 2024 Chron'!#REF!="McQueen, Jennifer"</xm:f>
            <x14:dxf>
              <font>
                <b/>
                <i val="0"/>
              </font>
            </x14:dxf>
          </x14:cfRule>
          <xm:sqref>E123:G123</xm:sqref>
        </x14:conditionalFormatting>
        <x14:conditionalFormatting xmlns:xm="http://schemas.microsoft.com/office/excel/2006/main">
          <x14:cfRule type="expression" priority="67" id="{EEE90160-577D-42C9-ADBC-2093BCE6365D}">
            <xm:f>'FY 2024 Chron'!#REF!="Benzick, Sue"</xm:f>
            <x14:dxf>
              <font>
                <b/>
                <i val="0"/>
              </font>
            </x14:dxf>
          </x14:cfRule>
          <x14:cfRule type="expression" priority="68" id="{4831C1C8-8615-4A38-AA32-20418A65997C}">
            <xm:f>'FY 2024 Chron'!#REF!="Jenne, Richard"</xm:f>
            <x14:dxf>
              <font>
                <b/>
                <i val="0"/>
              </font>
            </x14:dxf>
          </x14:cfRule>
          <x14:cfRule type="expression" priority="69" id="{B65EB7F7-FE72-4ED1-B393-E8E3B6899665}">
            <xm:f>'FY 2024 Chron'!#REF!="McQueen, Jennifer"</xm:f>
            <x14:dxf>
              <font>
                <b/>
                <i val="0"/>
              </font>
            </x14:dxf>
          </x14:cfRule>
          <xm:sqref>E125:H125</xm:sqref>
        </x14:conditionalFormatting>
        <x14:conditionalFormatting xmlns:xm="http://schemas.microsoft.com/office/excel/2006/main">
          <x14:cfRule type="expression" priority="211" id="{79CE5947-F033-48FE-85B9-114E39F84560}">
            <xm:f>'FY 2024 Chron'!#REF!="Benzick, Sue"</xm:f>
            <x14:dxf>
              <font>
                <b/>
                <i val="0"/>
              </font>
            </x14:dxf>
          </x14:cfRule>
          <x14:cfRule type="expression" priority="212" id="{0617F60D-9839-4A07-AF84-8393C272F3E5}">
            <xm:f>'FY 2024 Chron'!#REF!="Jenne, Richard"</xm:f>
            <x14:dxf>
              <font>
                <b/>
                <i val="0"/>
              </font>
            </x14:dxf>
          </x14:cfRule>
          <x14:cfRule type="expression" priority="213" id="{7AB32FA1-7B5E-4E0A-A367-0BA4AE55BDC9}">
            <xm:f>'FY 2024 Chron'!#REF!="McQueen, Jennifer"</xm:f>
            <x14:dxf>
              <font>
                <b/>
                <i val="0"/>
              </font>
            </x14:dxf>
          </x14:cfRule>
          <xm:sqref>E94:I94</xm:sqref>
        </x14:conditionalFormatting>
        <x14:conditionalFormatting xmlns:xm="http://schemas.microsoft.com/office/excel/2006/main">
          <x14:cfRule type="expression" priority="105" id="{4F07EEE9-0429-4263-8AB9-92F50F2972F8}">
            <xm:f>'FY 2024 Chron'!#REF!="McQueen, Jennifer"</xm:f>
            <x14:dxf>
              <font>
                <b/>
                <i val="0"/>
              </font>
            </x14:dxf>
          </x14:cfRule>
          <xm:sqref>E119:I120</xm:sqref>
        </x14:conditionalFormatting>
        <x14:conditionalFormatting xmlns:xm="http://schemas.microsoft.com/office/excel/2006/main">
          <x14:cfRule type="expression" priority="243" id="{4D0033CB-0D15-4885-856D-EE700B6E8335}">
            <xm:f>'FY 2024 Chron'!#REF!="McQueen, Jennifer"</xm:f>
            <x14:dxf>
              <font>
                <b/>
                <i val="0"/>
              </font>
            </x14:dxf>
          </x14:cfRule>
          <xm:sqref>E81:P82 E83:N83 H84:I84 E85:N85 E93:N93 I95 I99:N99</xm:sqref>
        </x14:conditionalFormatting>
        <x14:conditionalFormatting xmlns:xm="http://schemas.microsoft.com/office/excel/2006/main">
          <x14:cfRule type="expression" priority="1039" id="{458426D8-1652-44AD-A400-E9691AA511DB}">
            <xm:f>'FY 2024 Chron'!#REF!="Benzick, Sue"</xm:f>
            <x14:dxf>
              <font>
                <b/>
                <i val="0"/>
              </font>
            </x14:dxf>
          </x14:cfRule>
          <x14:cfRule type="expression" priority="1040" id="{2C28501E-66A5-4610-934C-7BA8EF9FB86C}">
            <xm:f>'FY 2024 Chron'!#REF!="Jenne, Richard"</xm:f>
            <x14:dxf>
              <font>
                <b/>
                <i val="0"/>
              </font>
            </x14:dxf>
          </x14:cfRule>
          <x14:cfRule type="expression" priority="1041" id="{DAC3C221-6C1A-4923-99EA-E6ED87CFBB3C}">
            <xm:f>'FY 2024 Chron'!#REF!="McQueen, Jennifer"</xm:f>
            <x14:dxf>
              <font>
                <b/>
                <i val="0"/>
              </font>
            </x14:dxf>
          </x14:cfRule>
          <xm:sqref>F3</xm:sqref>
        </x14:conditionalFormatting>
        <x14:conditionalFormatting xmlns:xm="http://schemas.microsoft.com/office/excel/2006/main">
          <x14:cfRule type="expression" priority="1042" id="{DF376DB1-945C-4875-975A-DA3101AE9E1F}">
            <xm:f>'FY 2024 Chron'!#REF!="Benzick, Sue"</xm:f>
            <x14:dxf>
              <font>
                <b/>
                <i val="0"/>
              </font>
            </x14:dxf>
          </x14:cfRule>
          <x14:cfRule type="expression" priority="1043" id="{3B920F21-7BB9-43AB-9734-C06F180CFDAA}">
            <xm:f>'FY 2024 Chron'!#REF!="Jenne, Richard"</xm:f>
            <x14:dxf>
              <font>
                <b/>
                <i val="0"/>
              </font>
            </x14:dxf>
          </x14:cfRule>
          <x14:cfRule type="expression" priority="1044" id="{9A3F1EBF-5707-41D5-8CBD-1B59CFE3F32E}">
            <xm:f>'FY 2024 Chron'!#REF!="McQueen, Jennifer"</xm:f>
            <x14:dxf>
              <font>
                <b/>
                <i val="0"/>
              </font>
            </x14:dxf>
          </x14:cfRule>
          <xm:sqref>F2:G2</xm:sqref>
        </x14:conditionalFormatting>
        <x14:conditionalFormatting xmlns:xm="http://schemas.microsoft.com/office/excel/2006/main">
          <x14:cfRule type="expression" priority="1024" id="{E3FF0D75-4AB9-498F-8812-59420458FC69}">
            <xm:f>'FY 2024 Chron'!#REF!="Benzick, Sue"</xm:f>
            <x14:dxf>
              <font>
                <b/>
                <i val="0"/>
              </font>
            </x14:dxf>
          </x14:cfRule>
          <x14:cfRule type="expression" priority="1025" id="{7715D61C-4E6D-41B5-AD83-EF8B3427D37B}">
            <xm:f>'FY 2024 Chron'!#REF!="Jenne, Richard"</xm:f>
            <x14:dxf>
              <font>
                <b/>
                <i val="0"/>
              </font>
            </x14:dxf>
          </x14:cfRule>
          <x14:cfRule type="expression" priority="1026" id="{28DB0F26-2B00-4911-A57D-9163A48DE45F}">
            <xm:f>'FY 2024 Chron'!#REF!="McQueen, Jennifer"</xm:f>
            <x14:dxf>
              <font>
                <b/>
                <i val="0"/>
              </font>
            </x14:dxf>
          </x14:cfRule>
          <xm:sqref>F4:G9</xm:sqref>
        </x14:conditionalFormatting>
        <x14:conditionalFormatting xmlns:xm="http://schemas.microsoft.com/office/excel/2006/main">
          <x14:cfRule type="expression" priority="3923" id="{7A54DD69-25AF-4737-9DD8-EBB57C29BA12}">
            <xm:f>'FY 2024 Chron'!$W80="Benzick, Sue"</xm:f>
            <x14:dxf>
              <font>
                <b/>
                <i val="0"/>
              </font>
            </x14:dxf>
          </x14:cfRule>
          <x14:cfRule type="expression" priority="3924" id="{ADB3E8FC-3BC8-4D11-AD86-35A7EAAD020A}">
            <xm:f>'FY 2024 Chron'!$W80="Jenne, Richard"</xm:f>
            <x14:dxf>
              <font>
                <b/>
                <i val="0"/>
              </font>
            </x14:dxf>
          </x14:cfRule>
          <x14:cfRule type="expression" priority="3925" id="{000EFA68-24D5-48F0-9627-4E2A4BF28C49}">
            <xm:f>'FY 2024 Chron'!$W80="McQueen, Jennifer"</xm:f>
            <x14:dxf>
              <font>
                <b/>
                <i val="0"/>
              </font>
            </x14:dxf>
          </x14:cfRule>
          <xm:sqref>F86:G86</xm:sqref>
        </x14:conditionalFormatting>
        <x14:conditionalFormatting xmlns:xm="http://schemas.microsoft.com/office/excel/2006/main">
          <x14:cfRule type="expression" priority="994" id="{1A9104C9-3FBA-46D1-B117-EDA6637B7EDE}">
            <xm:f>'FY 2024 Chron'!#REF!="Benzick, Sue"</xm:f>
            <x14:dxf>
              <font>
                <b/>
                <i val="0"/>
              </font>
            </x14:dxf>
          </x14:cfRule>
          <x14:cfRule type="expression" priority="995" id="{B21B9BAB-4200-4E0C-A68A-8518CF2BE0E3}">
            <xm:f>'FY 2024 Chron'!#REF!="Jenne, Richard"</xm:f>
            <x14:dxf>
              <font>
                <b/>
                <i val="0"/>
              </font>
            </x14:dxf>
          </x14:cfRule>
          <x14:cfRule type="expression" priority="996" id="{66E7F869-9524-4459-B24C-C7971A84FEC1}">
            <xm:f>'FY 2024 Chron'!#REF!="McQueen, Jennifer"</xm:f>
            <x14:dxf>
              <font>
                <b/>
                <i val="0"/>
              </font>
            </x14:dxf>
          </x14:cfRule>
          <xm:sqref>F12:H13</xm:sqref>
        </x14:conditionalFormatting>
        <x14:conditionalFormatting xmlns:xm="http://schemas.microsoft.com/office/excel/2006/main">
          <x14:cfRule type="expression" priority="1036" id="{B637834C-6623-4CE0-96C9-1625AF05E681}">
            <xm:f>'FY 2024 Chron'!#REF!="Benzick, Sue"</xm:f>
            <x14:dxf>
              <font>
                <b/>
                <i val="0"/>
              </font>
            </x14:dxf>
          </x14:cfRule>
          <x14:cfRule type="expression" priority="1037" id="{B934B75E-69AF-441D-BF98-3E09F6340DE3}">
            <xm:f>'FY 2024 Chron'!#REF!="Jenne, Richard"</xm:f>
            <x14:dxf>
              <font>
                <b/>
                <i val="0"/>
              </font>
            </x14:dxf>
          </x14:cfRule>
          <x14:cfRule type="expression" priority="1038" id="{48FFB173-2359-422C-B46D-04EBE04C5F63}">
            <xm:f>'FY 2024 Chron'!#REF!="McQueen, Jennifer"</xm:f>
            <x14:dxf>
              <font>
                <b/>
                <i val="0"/>
              </font>
            </x14:dxf>
          </x14:cfRule>
          <xm:sqref>G3</xm:sqref>
        </x14:conditionalFormatting>
        <x14:conditionalFormatting xmlns:xm="http://schemas.microsoft.com/office/excel/2006/main">
          <x14:cfRule type="expression" priority="97" id="{010D9F8B-8B30-40C5-B29D-2B2B676F8388}">
            <xm:f>'FY 2024 Chron'!#REF!="Benzick, Sue"</xm:f>
            <x14:dxf>
              <font>
                <b/>
                <i val="0"/>
              </font>
            </x14:dxf>
          </x14:cfRule>
          <x14:cfRule type="expression" priority="98" id="{36EA2099-0739-41DC-8F37-AA63401FB542}">
            <xm:f>'FY 2024 Chron'!#REF!="Jenne, Richard"</xm:f>
            <x14:dxf>
              <font>
                <b/>
                <i val="0"/>
              </font>
            </x14:dxf>
          </x14:cfRule>
          <x14:cfRule type="expression" priority="99" id="{919C5040-6B2D-4A93-B932-071D758330D4}">
            <xm:f>'FY 2024 Chron'!#REF!="McQueen, Jennifer"</xm:f>
            <x14:dxf>
              <font>
                <b/>
                <i val="0"/>
              </font>
            </x14:dxf>
          </x14:cfRule>
          <xm:sqref>G121:H121</xm:sqref>
        </x14:conditionalFormatting>
        <x14:conditionalFormatting xmlns:xm="http://schemas.microsoft.com/office/excel/2006/main">
          <x14:cfRule type="expression" priority="982" id="{278207BB-7F56-4C60-8A02-2B1AC33AE30F}">
            <xm:f>'FY 2024 Chron'!#REF!="Benzick, Sue"</xm:f>
            <x14:dxf>
              <font>
                <b/>
                <i val="0"/>
              </font>
            </x14:dxf>
          </x14:cfRule>
          <x14:cfRule type="expression" priority="983" id="{3D9DF02C-312F-4DF7-B58E-71DB079B4927}">
            <xm:f>'FY 2024 Chron'!#REF!="Jenne, Richard"</xm:f>
            <x14:dxf>
              <font>
                <b/>
                <i val="0"/>
              </font>
            </x14:dxf>
          </x14:cfRule>
          <x14:cfRule type="expression" priority="984" id="{F12D63FC-19EF-4FDE-9301-86538E13EEC9}">
            <xm:f>'FY 2024 Chron'!#REF!="McQueen, Jennifer"</xm:f>
            <x14:dxf>
              <font>
                <b/>
                <i val="0"/>
              </font>
            </x14:dxf>
          </x14:cfRule>
          <xm:sqref>G14:N14</xm:sqref>
        </x14:conditionalFormatting>
        <x14:conditionalFormatting xmlns:xm="http://schemas.microsoft.com/office/excel/2006/main">
          <x14:cfRule type="expression" priority="1009" id="{F8DAF346-5605-44B7-BF38-B7CEB860BD48}">
            <xm:f>'FY 2024 Chron'!#REF!="Benzick, Sue"</xm:f>
            <x14:dxf>
              <font>
                <b/>
                <i val="0"/>
              </font>
            </x14:dxf>
          </x14:cfRule>
          <x14:cfRule type="expression" priority="1010" id="{DE52A5C4-0624-4627-BE73-84B082E4AD81}">
            <xm:f>'FY 2024 Chron'!#REF!="Jenne, Richard"</xm:f>
            <x14:dxf>
              <font>
                <b/>
                <i val="0"/>
              </font>
            </x14:dxf>
          </x14:cfRule>
          <x14:cfRule type="expression" priority="1011" id="{C1968EF2-77B8-4A1B-BBC2-01C0F63E971F}">
            <xm:f>'FY 2024 Chron'!#REF!="McQueen, Jennifer"</xm:f>
            <x14:dxf>
              <font>
                <b/>
                <i val="0"/>
              </font>
            </x14:dxf>
          </x14:cfRule>
          <xm:sqref>H2:H9</xm:sqref>
        </x14:conditionalFormatting>
        <x14:conditionalFormatting xmlns:xm="http://schemas.microsoft.com/office/excel/2006/main">
          <x14:cfRule type="expression" priority="16" id="{AA2E9CC5-4170-42B7-95EE-0DFCE185D7E8}">
            <xm:f>'FY 2024 Chron'!#REF!="Benzick, Sue"</xm:f>
            <x14:dxf>
              <font>
                <b/>
                <i val="0"/>
              </font>
            </x14:dxf>
          </x14:cfRule>
          <x14:cfRule type="expression" priority="17" id="{BB87EAB5-910A-4C6F-9291-A51B3438E783}">
            <xm:f>'FY 2024 Chron'!#REF!="Jenne, Richard"</xm:f>
            <x14:dxf>
              <font>
                <b/>
                <i val="0"/>
              </font>
            </x14:dxf>
          </x14:cfRule>
          <x14:cfRule type="expression" priority="18" id="{24B70B3C-A4E3-4376-9DEC-4D22E6201922}">
            <xm:f>'FY 2024 Chron'!#REF!="McQueen, Jennifer"</xm:f>
            <x14:dxf>
              <font>
                <b/>
                <i val="0"/>
              </font>
            </x14:dxf>
          </x14:cfRule>
          <xm:sqref>H133</xm:sqref>
        </x14:conditionalFormatting>
        <x14:conditionalFormatting xmlns:xm="http://schemas.microsoft.com/office/excel/2006/main">
          <x14:cfRule type="expression" priority="1000" id="{5D29B92E-C9CB-4107-B91C-7E90BE372F7D}">
            <xm:f>'FY 2024 Chron'!#REF!="Benzick, Sue"</xm:f>
            <x14:dxf>
              <font>
                <b/>
                <i val="0"/>
              </font>
            </x14:dxf>
          </x14:cfRule>
          <x14:cfRule type="expression" priority="1001" id="{57D2D218-D4B2-4470-AC08-D384EFB9AC07}">
            <xm:f>'FY 2024 Chron'!#REF!="Jenne, Richard"</xm:f>
            <x14:dxf>
              <font>
                <b/>
                <i val="0"/>
              </font>
            </x14:dxf>
          </x14:cfRule>
          <x14:cfRule type="expression" priority="1002" id="{4A433918-E393-4135-915C-80FF8E607F5D}">
            <xm:f>'FY 2024 Chron'!#REF!="McQueen, Jennifer"</xm:f>
            <x14:dxf>
              <font>
                <b/>
                <i val="0"/>
              </font>
            </x14:dxf>
          </x14:cfRule>
          <xm:sqref>H10:I11</xm:sqref>
        </x14:conditionalFormatting>
        <x14:conditionalFormatting xmlns:xm="http://schemas.microsoft.com/office/excel/2006/main">
          <x14:cfRule type="expression" priority="958" id="{5FA239F6-58ED-45FC-9304-27E1C000FDDF}">
            <xm:f>'FY 2024 Chron'!#REF!="Benzick, Sue"</xm:f>
            <x14:dxf>
              <font>
                <b/>
                <i val="0"/>
              </font>
            </x14:dxf>
          </x14:cfRule>
          <x14:cfRule type="expression" priority="959" id="{F83B440D-E949-42EB-9FEA-207AFCB7BD9C}">
            <xm:f>'FY 2024 Chron'!#REF!="Jenne, Richard"</xm:f>
            <x14:dxf>
              <font>
                <b/>
                <i val="0"/>
              </font>
            </x14:dxf>
          </x14:cfRule>
          <x14:cfRule type="expression" priority="960" id="{3EC5BF14-51CE-47BC-8870-9DF8EB1EC3BC}">
            <xm:f>'FY 2024 Chron'!#REF!="McQueen, Jennifer"</xm:f>
            <x14:dxf>
              <font>
                <b/>
                <i val="0"/>
              </font>
            </x14:dxf>
          </x14:cfRule>
          <xm:sqref>H16:I16</xm:sqref>
        </x14:conditionalFormatting>
        <x14:conditionalFormatting xmlns:xm="http://schemas.microsoft.com/office/excel/2006/main">
          <x14:cfRule type="expression" priority="225" id="{9C166125-E6D2-46BD-A637-DA0ABBAE0760}">
            <xm:f>'FY 2024 Chron'!#REF!="McQueen, Jennifer"</xm:f>
            <x14:dxf>
              <font>
                <b/>
                <i val="0"/>
              </font>
            </x14:dxf>
          </x14:cfRule>
          <xm:sqref>H86:I88</xm:sqref>
        </x14:conditionalFormatting>
        <x14:conditionalFormatting xmlns:xm="http://schemas.microsoft.com/office/excel/2006/main">
          <x14:cfRule type="expression" priority="226" id="{3AEF7957-8994-44B7-A97A-984884470C47}">
            <xm:f>'FY 2024 Chron'!#REF!="Benzick, Sue"</xm:f>
            <x14:dxf>
              <font>
                <b/>
                <i val="0"/>
              </font>
            </x14:dxf>
          </x14:cfRule>
          <x14:cfRule type="expression" priority="227" id="{7E6434CA-3FAD-47DE-B254-BC1C8F4BD76E}">
            <xm:f>'FY 2024 Chron'!#REF!="Jenne, Richard"</xm:f>
            <x14:dxf>
              <font>
                <b/>
                <i val="0"/>
              </font>
            </x14:dxf>
          </x14:cfRule>
          <xm:sqref>H87:I87</xm:sqref>
        </x14:conditionalFormatting>
        <x14:conditionalFormatting xmlns:xm="http://schemas.microsoft.com/office/excel/2006/main">
          <x14:cfRule type="expression" priority="223" id="{1701DA60-EC60-4D92-B26C-DAD257A199B2}">
            <xm:f>'FY 2024 Chron'!#REF!="Benzick, Sue"</xm:f>
            <x14:dxf>
              <font>
                <b/>
                <i val="0"/>
              </font>
            </x14:dxf>
          </x14:cfRule>
          <x14:cfRule type="expression" priority="224" id="{8983AA86-53D6-4425-9672-8F6DA2ACC7FE}">
            <xm:f>'FY 2024 Chron'!#REF!="Jenne, Richard"</xm:f>
            <x14:dxf>
              <font>
                <b/>
                <i val="0"/>
              </font>
            </x14:dxf>
          </x14:cfRule>
          <xm:sqref>H88:I88</xm:sqref>
        </x14:conditionalFormatting>
        <x14:conditionalFormatting xmlns:xm="http://schemas.microsoft.com/office/excel/2006/main">
          <x14:cfRule type="expression" priority="208" id="{2E1398A1-D8F3-431E-A5E2-5BD6F85BA169}">
            <xm:f>'FY 2024 Chron'!#REF!="Benzick, Sue"</xm:f>
            <x14:dxf>
              <font>
                <b/>
                <i val="0"/>
              </font>
            </x14:dxf>
          </x14:cfRule>
          <x14:cfRule type="expression" priority="209" id="{8EBBC701-54A5-4E2A-9A47-AC8A4A51B4EA}">
            <xm:f>'FY 2024 Chron'!#REF!="Jenne, Richard"</xm:f>
            <x14:dxf>
              <font>
                <b/>
                <i val="0"/>
              </font>
            </x14:dxf>
          </x14:cfRule>
          <x14:cfRule type="expression" priority="210" id="{90836DE6-6737-4DE5-8640-5179FBF6C52A}">
            <xm:f>'FY 2024 Chron'!#REF!="McQueen, Jennifer"</xm:f>
            <x14:dxf>
              <font>
                <b/>
                <i val="0"/>
              </font>
            </x14:dxf>
          </x14:cfRule>
          <xm:sqref>H96:I98</xm:sqref>
        </x14:conditionalFormatting>
        <x14:conditionalFormatting xmlns:xm="http://schemas.microsoft.com/office/excel/2006/main">
          <x14:cfRule type="expression" priority="115" id="{F0A98FD7-4D00-4138-9929-A37C2415F52E}">
            <xm:f>'FY 2024 Chron'!#REF!="Benzick, Sue"</xm:f>
            <x14:dxf>
              <font>
                <b/>
                <i val="0"/>
              </font>
            </x14:dxf>
          </x14:cfRule>
          <x14:cfRule type="expression" priority="116" id="{66DE71A0-8913-480A-8176-489F6B27AA37}">
            <xm:f>'FY 2024 Chron'!#REF!="Jenne, Richard"</xm:f>
            <x14:dxf>
              <font>
                <b/>
                <i val="0"/>
              </font>
            </x14:dxf>
          </x14:cfRule>
          <xm:sqref>H119:I119</xm:sqref>
        </x14:conditionalFormatting>
        <x14:conditionalFormatting xmlns:xm="http://schemas.microsoft.com/office/excel/2006/main">
          <x14:cfRule type="expression" priority="103" id="{03A1F94B-9E66-401B-91DD-26E626F37CA9}">
            <xm:f>'FY 2024 Chron'!#REF!="Benzick, Sue"</xm:f>
            <x14:dxf>
              <font>
                <b/>
                <i val="0"/>
              </font>
            </x14:dxf>
          </x14:cfRule>
          <x14:cfRule type="expression" priority="104" id="{32DCB5EB-4431-485E-B4D1-5F88804B8D7B}">
            <xm:f>'FY 2024 Chron'!#REF!="Jenne, Richard"</xm:f>
            <x14:dxf>
              <font>
                <b/>
                <i val="0"/>
              </font>
            </x14:dxf>
          </x14:cfRule>
          <xm:sqref>H120:I120</xm:sqref>
        </x14:conditionalFormatting>
        <x14:conditionalFormatting xmlns:xm="http://schemas.microsoft.com/office/excel/2006/main">
          <x14:cfRule type="expression" priority="73" id="{9DE7DB54-4125-4263-842E-E664D59BB1E1}">
            <xm:f>'FY 2024 Chron'!#REF!="Benzick, Sue"</xm:f>
            <x14:dxf>
              <font>
                <b/>
                <i val="0"/>
              </font>
            </x14:dxf>
          </x14:cfRule>
          <x14:cfRule type="expression" priority="74" id="{8AC68CB6-F5F0-499F-9C0D-58EE795C8D6D}">
            <xm:f>'FY 2024 Chron'!#REF!="Jenne, Richard"</xm:f>
            <x14:dxf>
              <font>
                <b/>
                <i val="0"/>
              </font>
            </x14:dxf>
          </x14:cfRule>
          <x14:cfRule type="expression" priority="75" id="{78AD0D56-E195-4893-AD33-111133CCB7D7}">
            <xm:f>'FY 2024 Chron'!#REF!="McQueen, Jennifer"</xm:f>
            <x14:dxf>
              <font>
                <b/>
                <i val="0"/>
              </font>
            </x14:dxf>
          </x14:cfRule>
          <xm:sqref>H123:I123</xm:sqref>
        </x14:conditionalFormatting>
        <x14:conditionalFormatting xmlns:xm="http://schemas.microsoft.com/office/excel/2006/main">
          <x14:cfRule type="expression" priority="49" id="{4FC2BFF0-09B0-4CCF-8A08-53D80837453F}">
            <xm:f>'FY 2024 Chron'!#REF!="Benzick, Sue"</xm:f>
            <x14:dxf>
              <font>
                <b/>
                <i val="0"/>
              </font>
            </x14:dxf>
          </x14:cfRule>
          <x14:cfRule type="expression" priority="50" id="{E242D59F-DB04-472F-9F85-86624A26E99F}">
            <xm:f>'FY 2024 Chron'!#REF!="Jenne, Richard"</xm:f>
            <x14:dxf>
              <font>
                <b/>
                <i val="0"/>
              </font>
            </x14:dxf>
          </x14:cfRule>
          <x14:cfRule type="expression" priority="51" id="{7CC6517A-64A2-4284-B918-870212A43494}">
            <xm:f>'FY 2024 Chron'!#REF!="McQueen, Jennifer"</xm:f>
            <x14:dxf>
              <font>
                <b/>
                <i val="0"/>
              </font>
            </x14:dxf>
          </x14:cfRule>
          <xm:sqref>H127:I127</xm:sqref>
        </x14:conditionalFormatting>
        <x14:conditionalFormatting xmlns:xm="http://schemas.microsoft.com/office/excel/2006/main">
          <x14:cfRule type="expression" priority="19" id="{435C7030-CF96-4AA6-855C-9F615F6230D4}">
            <xm:f>'FY 2024 Chron'!#REF!="Benzick, Sue"</xm:f>
            <x14:dxf>
              <font>
                <b/>
                <i val="0"/>
              </font>
            </x14:dxf>
          </x14:cfRule>
          <x14:cfRule type="expression" priority="20" id="{72BCDDF2-1BD5-4640-8CD9-1E2E8A9BEEA4}">
            <xm:f>'FY 2024 Chron'!#REF!="Jenne, Richard"</xm:f>
            <x14:dxf>
              <font>
                <b/>
                <i val="0"/>
              </font>
            </x14:dxf>
          </x14:cfRule>
          <x14:cfRule type="expression" priority="21" id="{7385A6F7-5890-46CB-9F8B-6BC7042413D3}">
            <xm:f>'FY 2024 Chron'!#REF!="McQueen, Jennifer"</xm:f>
            <x14:dxf>
              <font>
                <b/>
                <i val="0"/>
              </font>
            </x14:dxf>
          </x14:cfRule>
          <xm:sqref>H129:I130</xm:sqref>
        </x14:conditionalFormatting>
        <x14:conditionalFormatting xmlns:xm="http://schemas.microsoft.com/office/excel/2006/main">
          <x14:cfRule type="expression" priority="970" id="{FCDE96D2-1A2B-4022-9C76-A7F1B42165F8}">
            <xm:f>'FY 2024 Chron'!#REF!="Benzick, Sue"</xm:f>
            <x14:dxf>
              <font>
                <b/>
                <i val="0"/>
              </font>
            </x14:dxf>
          </x14:cfRule>
          <x14:cfRule type="expression" priority="971" id="{0587B98F-7E41-4AAF-8D9E-71DD9E7312D7}">
            <xm:f>'FY 2024 Chron'!#REF!="Jenne, Richard"</xm:f>
            <x14:dxf>
              <font>
                <b/>
                <i val="0"/>
              </font>
            </x14:dxf>
          </x14:cfRule>
          <x14:cfRule type="expression" priority="972" id="{952FE0CC-683A-49A8-A8CA-9993FF25101D}">
            <xm:f>'FY 2024 Chron'!#REF!="McQueen, Jennifer"</xm:f>
            <x14:dxf>
              <font>
                <b/>
                <i val="0"/>
              </font>
            </x14:dxf>
          </x14:cfRule>
          <xm:sqref>H15:N15</xm:sqref>
        </x14:conditionalFormatting>
        <x14:conditionalFormatting xmlns:xm="http://schemas.microsoft.com/office/excel/2006/main">
          <x14:cfRule type="expression" priority="241" id="{DFFC4F05-C9BE-4D59-BF3E-0697FB70C396}">
            <xm:f>'FY 2024 Chron'!#REF!="Benzick, Sue"</xm:f>
            <x14:dxf>
              <font>
                <b/>
                <i val="0"/>
              </font>
            </x14:dxf>
          </x14:cfRule>
          <x14:cfRule type="expression" priority="242" id="{A905EAE7-042C-446F-B1DC-039A42885272}">
            <xm:f>'FY 2024 Chron'!#REF!="Jenne, Richard"</xm:f>
            <x14:dxf>
              <font>
                <b/>
                <i val="0"/>
              </font>
            </x14:dxf>
          </x14:cfRule>
          <xm:sqref>H81:N82 I83:N83 H84:I84 I85:N85 H86:I86 E93:N93 I95 I99:N99</xm:sqref>
        </x14:conditionalFormatting>
        <x14:conditionalFormatting xmlns:xm="http://schemas.microsoft.com/office/excel/2006/main">
          <x14:cfRule type="expression" priority="205" id="{3B95A9F5-5ABE-4EFE-AC75-9BC082E837C4}">
            <xm:f>'FY 2024 Chron'!#REF!="Benzick, Sue"</xm:f>
            <x14:dxf>
              <font>
                <b/>
                <i val="0"/>
              </font>
            </x14:dxf>
          </x14:cfRule>
          <x14:cfRule type="expression" priority="206" id="{5E7ECABC-8860-4ED7-939D-2180E86ACBCC}">
            <xm:f>'FY 2024 Chron'!#REF!="Jenne, Richard"</xm:f>
            <x14:dxf>
              <font>
                <b/>
                <i val="0"/>
              </font>
            </x14:dxf>
          </x14:cfRule>
          <x14:cfRule type="expression" priority="207" id="{3636AC37-B6EF-479B-8792-C49D6E851909}">
            <xm:f>'FY 2024 Chron'!#REF!="McQueen, Jennifer"</xm:f>
            <x14:dxf>
              <font>
                <b/>
                <i val="0"/>
              </font>
            </x14:dxf>
          </x14:cfRule>
          <xm:sqref>H103:N103</xm:sqref>
        </x14:conditionalFormatting>
        <x14:conditionalFormatting xmlns:xm="http://schemas.microsoft.com/office/excel/2006/main">
          <x14:cfRule type="expression" priority="175" id="{5B2EFB08-0178-4170-9F9F-26A7F63AFAF0}">
            <xm:f>'FY 2024 Chron'!#REF!="Benzick, Sue"</xm:f>
            <x14:dxf>
              <font>
                <b/>
                <i val="0"/>
              </font>
            </x14:dxf>
          </x14:cfRule>
          <x14:cfRule type="expression" priority="176" id="{21EC1F95-5732-4B7D-9E1E-A00717487208}">
            <xm:f>'FY 2024 Chron'!#REF!="Jenne, Richard"</xm:f>
            <x14:dxf>
              <font>
                <b/>
                <i val="0"/>
              </font>
            </x14:dxf>
          </x14:cfRule>
          <x14:cfRule type="expression" priority="177" id="{D03568DB-0BDE-4FB5-BB83-53096299D8D0}">
            <xm:f>'FY 2024 Chron'!#REF!="McQueen, Jennifer"</xm:f>
            <x14:dxf>
              <font>
                <b/>
                <i val="0"/>
              </font>
            </x14:dxf>
          </x14:cfRule>
          <xm:sqref>H112:N112</xm:sqref>
        </x14:conditionalFormatting>
        <x14:conditionalFormatting xmlns:xm="http://schemas.microsoft.com/office/excel/2006/main">
          <x14:cfRule type="expression" priority="127" id="{D804F335-95EB-4EB4-8B71-5B1CB3060F52}">
            <xm:f>'FY 2024 Chron'!#REF!="Benzick, Sue"</xm:f>
            <x14:dxf>
              <font>
                <b/>
                <i val="0"/>
              </font>
            </x14:dxf>
          </x14:cfRule>
          <x14:cfRule type="expression" priority="128" id="{A8D92B11-90D1-456C-B091-507926703763}">
            <xm:f>'FY 2024 Chron'!#REF!="Jenne, Richard"</xm:f>
            <x14:dxf>
              <font>
                <b/>
                <i val="0"/>
              </font>
            </x14:dxf>
          </x14:cfRule>
          <x14:cfRule type="expression" priority="129" id="{CA8A0971-163D-40F6-8FA4-A95D65C6CB16}">
            <xm:f>'FY 2024 Chron'!#REF!="McQueen, Jennifer"</xm:f>
            <x14:dxf>
              <font>
                <b/>
                <i val="0"/>
              </font>
            </x14:dxf>
          </x14:cfRule>
          <xm:sqref>I118:N118</xm:sqref>
        </x14:conditionalFormatting>
        <x14:conditionalFormatting xmlns:xm="http://schemas.microsoft.com/office/excel/2006/main">
          <x14:cfRule type="expression" priority="40" id="{386AB37E-2CFE-4526-9939-0F9CC91C5888}">
            <xm:f>'FY 2024 Chron'!#REF!="Benzick, Sue"</xm:f>
            <x14:dxf>
              <font>
                <b/>
                <i val="0"/>
              </font>
            </x14:dxf>
          </x14:cfRule>
          <x14:cfRule type="expression" priority="41" id="{4D55C88B-6E70-4F8D-9BEC-A06B1DC6FE8B}">
            <xm:f>'FY 2024 Chron'!#REF!="Jenne, Richard"</xm:f>
            <x14:dxf>
              <font>
                <b/>
                <i val="0"/>
              </font>
            </x14:dxf>
          </x14:cfRule>
          <x14:cfRule type="expression" priority="42" id="{061CAA89-8D05-457F-B955-1E35E2B1201E}">
            <xm:f>'FY 2024 Chron'!#REF!="McQueen, Jennifer"</xm:f>
            <x14:dxf>
              <font>
                <b/>
                <i val="0"/>
              </font>
            </x14:dxf>
          </x14:cfRule>
          <xm:sqref>I128:N128</xm:sqref>
        </x14:conditionalFormatting>
        <x14:conditionalFormatting xmlns:xm="http://schemas.microsoft.com/office/excel/2006/main">
          <x14:cfRule type="expression" priority="4850" id="{D4AD25C1-6FB5-424E-AC0F-A88214458DAA}">
            <xm:f>'FY 2024 Chron'!$V90="Benzick, Sue"</xm:f>
            <x14:dxf>
              <font>
                <b/>
                <i val="0"/>
              </font>
            </x14:dxf>
          </x14:cfRule>
          <x14:cfRule type="expression" priority="4851" id="{990DD243-A6E0-4087-9D27-888A6DEB64E6}">
            <xm:f>'FY 2024 Chron'!$V90="Jenne, Richard"</xm:f>
            <x14:dxf>
              <font>
                <b/>
                <i val="0"/>
              </font>
            </x14:dxf>
          </x14:cfRule>
          <x14:cfRule type="expression" priority="4852" id="{40D72152-17B6-4C59-8F5B-EA07ACE20FEE}">
            <xm:f>'FY 2024 Chron'!$V90="McQueen, Jennifer"</xm:f>
            <x14:dxf>
              <font>
                <b/>
                <i val="0"/>
              </font>
            </x14:dxf>
          </x14:cfRule>
          <xm:sqref>O88 S88:T88 S90:T95 A94 J94:N95 O95</xm:sqref>
        </x14:conditionalFormatting>
        <x14:conditionalFormatting xmlns:xm="http://schemas.microsoft.com/office/excel/2006/main">
          <x14:cfRule type="expression" priority="5360" id="{D4AD25C1-6FB5-424E-AC0F-A88214458DAA}">
            <xm:f>'FY 2024 Chron'!$V98="Benzick, Sue"</xm:f>
            <x14:dxf>
              <font>
                <b/>
                <i val="0"/>
              </font>
            </x14:dxf>
          </x14:cfRule>
          <x14:cfRule type="expression" priority="5361" id="{990DD243-A6E0-4087-9D27-888A6DEB64E6}">
            <xm:f>'FY 2024 Chron'!$V98="Jenne, Richard"</xm:f>
            <x14:dxf>
              <font>
                <b/>
                <i val="0"/>
              </font>
            </x14:dxf>
          </x14:cfRule>
          <x14:cfRule type="expression" priority="5362" id="{40D72152-17B6-4C59-8F5B-EA07ACE20FEE}">
            <xm:f>'FY 2024 Chron'!$V98="McQueen, Jennifer"</xm:f>
            <x14:dxf>
              <font>
                <b/>
                <i val="0"/>
              </font>
            </x14:dxf>
          </x14:cfRule>
          <xm:sqref>O97 S97:T97</xm:sqref>
        </x14:conditionalFormatting>
        <x14:conditionalFormatting xmlns:xm="http://schemas.microsoft.com/office/excel/2006/main">
          <x14:cfRule type="expression" priority="4493" id="{7A54DD69-25AF-4737-9DD8-EBB57C29BA12}">
            <xm:f>'FY 2024 Chron'!#REF!="Benzick, Sue"</xm:f>
            <x14:dxf>
              <font>
                <b/>
                <i val="0"/>
              </font>
            </x14:dxf>
          </x14:cfRule>
          <x14:cfRule type="expression" priority="4494" id="{ADB3E8FC-3BC8-4D11-AD86-35A7EAAD020A}">
            <xm:f>'FY 2024 Chron'!#REF!="Jenne, Richard"</xm:f>
            <x14:dxf>
              <font>
                <b/>
                <i val="0"/>
              </font>
            </x14:dxf>
          </x14:cfRule>
          <x14:cfRule type="expression" priority="4495" id="{000EFA68-24D5-48F0-9627-4E2A4BF28C49}">
            <xm:f>'FY 2024 Chron'!#REF!="McQueen, Jennifer"</xm:f>
            <x14:dxf>
              <font>
                <b/>
                <i val="0"/>
              </font>
            </x14:dxf>
          </x14:cfRule>
          <xm:sqref>O98:P100</xm:sqref>
        </x14:conditionalFormatting>
        <x14:conditionalFormatting xmlns:xm="http://schemas.microsoft.com/office/excel/2006/main">
          <x14:cfRule type="expression" priority="4238" id="{D4AD25C1-6FB5-424E-AC0F-A88214458DAA}">
            <xm:f>'FY 2024 Chron'!#REF!="Benzick, Sue"</xm:f>
            <x14:dxf>
              <font>
                <b/>
                <i val="0"/>
              </font>
            </x14:dxf>
          </x14:cfRule>
          <x14:cfRule type="expression" priority="4239" id="{990DD243-A6E0-4087-9D27-888A6DEB64E6}">
            <xm:f>'FY 2024 Chron'!#REF!="Jenne, Richard"</xm:f>
            <x14:dxf>
              <font>
                <b/>
                <i val="0"/>
              </font>
            </x14:dxf>
          </x14:cfRule>
          <x14:cfRule type="expression" priority="4240" id="{40D72152-17B6-4C59-8F5B-EA07ACE20FEE}">
            <xm:f>'FY 2024 Chron'!#REF!="McQueen, Jennifer"</xm:f>
            <x14:dxf>
              <font>
                <b/>
                <i val="0"/>
              </font>
            </x14:dxf>
          </x14:cfRule>
          <xm:sqref>P87 S87:T87</xm:sqref>
        </x14:conditionalFormatting>
        <x14:conditionalFormatting xmlns:xm="http://schemas.microsoft.com/office/excel/2006/main">
          <x14:cfRule type="expression" priority="4349" id="{D4AD25C1-6FB5-424E-AC0F-A88214458DAA}">
            <xm:f>'FY 2024 Chron'!#REF!="Benzick, Sue"</xm:f>
            <x14:dxf>
              <font>
                <b/>
                <i val="0"/>
              </font>
            </x14:dxf>
          </x14:cfRule>
          <x14:cfRule type="expression" priority="4350" id="{990DD243-A6E0-4087-9D27-888A6DEB64E6}">
            <xm:f>'FY 2024 Chron'!#REF!="Jenne, Richard"</xm:f>
            <x14:dxf>
              <font>
                <b/>
                <i val="0"/>
              </font>
            </x14:dxf>
          </x14:cfRule>
          <x14:cfRule type="expression" priority="4351" id="{40D72152-17B6-4C59-8F5B-EA07ACE20FEE}">
            <xm:f>'FY 2024 Chron'!#REF!="McQueen, Jennifer"</xm:f>
            <x14:dxf>
              <font>
                <b/>
                <i val="0"/>
              </font>
            </x14:dxf>
          </x14:cfRule>
          <xm:sqref>S89:T89</xm:sqref>
        </x14:conditionalFormatting>
        <x14:conditionalFormatting xmlns:xm="http://schemas.microsoft.com/office/excel/2006/main">
          <x14:cfRule type="expression" priority="4487" id="{D4AD25C1-6FB5-424E-AC0F-A88214458DAA}">
            <xm:f>'FY 2024 Chron'!#REF!="Benzick, Sue"</xm:f>
            <x14:dxf>
              <font>
                <b/>
                <i val="0"/>
              </font>
            </x14:dxf>
          </x14:cfRule>
          <x14:cfRule type="expression" priority="4488" id="{990DD243-A6E0-4087-9D27-888A6DEB64E6}">
            <xm:f>'FY 2024 Chron'!#REF!="Jenne, Richard"</xm:f>
            <x14:dxf>
              <font>
                <b/>
                <i val="0"/>
              </font>
            </x14:dxf>
          </x14:cfRule>
          <x14:cfRule type="expression" priority="4489" id="{40D72152-17B6-4C59-8F5B-EA07ACE20FEE}">
            <xm:f>'FY 2024 Chron'!#REF!="McQueen, Jennifer"</xm:f>
            <x14:dxf>
              <font>
                <b/>
                <i val="0"/>
              </font>
            </x14:dxf>
          </x14:cfRule>
          <xm:sqref>T98:T100</xm:sqref>
        </x14:conditionalFormatting>
        <x14:conditionalFormatting xmlns:xm="http://schemas.microsoft.com/office/excel/2006/main">
          <x14:cfRule type="expression" priority="5369" id="{D4AD25C1-6FB5-424E-AC0F-A88214458DAA}">
            <xm:f>'FY 2024 Chron'!$V99="Benzick, Sue"</xm:f>
            <x14:dxf>
              <font>
                <b/>
                <i val="0"/>
              </font>
            </x14:dxf>
          </x14:cfRule>
          <x14:cfRule type="expression" priority="5370" id="{990DD243-A6E0-4087-9D27-888A6DEB64E6}">
            <xm:f>'FY 2024 Chron'!$V99="Jenne, Richard"</xm:f>
            <x14:dxf>
              <font>
                <b/>
                <i val="0"/>
              </font>
            </x14:dxf>
          </x14:cfRule>
          <x14:cfRule type="expression" priority="5371" id="{40D72152-17B6-4C59-8F5B-EA07ACE20FEE}">
            <xm:f>'FY 2024 Chron'!$V99="McQueen, Jennifer"</xm:f>
            <x14:dxf>
              <font>
                <b/>
                <i val="0"/>
              </font>
            </x14:dxf>
          </x14:cfRule>
          <xm:sqref>T101 T107</xm:sqref>
        </x14:conditionalFormatting>
        <x14:conditionalFormatting xmlns:xm="http://schemas.microsoft.com/office/excel/2006/main">
          <x14:cfRule type="expression" priority="4634" id="{D4AD25C1-6FB5-424E-AC0F-A88214458DAA}">
            <xm:f>'FY 2024 Chron'!#REF!="Benzick, Sue"</xm:f>
            <x14:dxf>
              <font>
                <b/>
                <i val="0"/>
              </font>
            </x14:dxf>
          </x14:cfRule>
          <x14:cfRule type="expression" priority="4635" id="{990DD243-A6E0-4087-9D27-888A6DEB64E6}">
            <xm:f>'FY 2024 Chron'!#REF!="Jenne, Richard"</xm:f>
            <x14:dxf>
              <font>
                <b/>
                <i val="0"/>
              </font>
            </x14:dxf>
          </x14:cfRule>
          <x14:cfRule type="expression" priority="4636" id="{40D72152-17B6-4C59-8F5B-EA07ACE20FEE}">
            <xm:f>'FY 2024 Chron'!#REF!="McQueen, Jennifer"</xm:f>
            <x14:dxf>
              <font>
                <b/>
                <i val="0"/>
              </font>
            </x14:dxf>
          </x14:cfRule>
          <xm:sqref>T102</xm:sqref>
        </x14:conditionalFormatting>
        <x14:conditionalFormatting xmlns:xm="http://schemas.microsoft.com/office/excel/2006/main">
          <x14:cfRule type="expression" priority="202" id="{3EF1E616-2482-48D0-A779-6C5DD4B24280}">
            <xm:f>'FY 2024 Chron'!$AA103="Benzick, Sue"</xm:f>
            <x14:dxf>
              <font>
                <b/>
                <i val="0"/>
              </font>
            </x14:dxf>
          </x14:cfRule>
          <x14:cfRule type="expression" priority="203" id="{A60A410F-53A1-4CC8-9981-8368A359A3D1}">
            <xm:f>'FY 2024 Chron'!$AA103="Jenne, Richard"</xm:f>
            <x14:dxf>
              <font>
                <b/>
                <i val="0"/>
              </font>
            </x14:dxf>
          </x14:cfRule>
          <x14:cfRule type="expression" priority="204" id="{2538E2AF-0A26-4E57-B792-37A2025044B2}">
            <xm:f>'FY 2024 Chron'!$AA103="McQueen, Jennifer"</xm:f>
            <x14:dxf>
              <font>
                <b/>
                <i val="0"/>
              </font>
            </x14:dxf>
          </x14:cfRule>
          <xm:sqref>W106</xm:sqref>
        </x14:conditionalFormatting>
        <x14:conditionalFormatting xmlns:xm="http://schemas.microsoft.com/office/excel/2006/main">
          <x14:cfRule type="expression" priority="4235" id="{AFC6B521-9F49-4562-8FE2-A1142DDFBF49}">
            <xm:f>'FY 2024 Chron'!#REF!="Benzick, Sue"</xm:f>
            <x14:dxf>
              <font>
                <b/>
                <i val="0"/>
              </font>
            </x14:dxf>
          </x14:cfRule>
          <x14:cfRule type="expression" priority="4236" id="{9A063264-F7BB-4EA1-B96D-E0715B3D71B8}">
            <xm:f>'FY 2024 Chron'!#REF!="Jenne, Richard"</xm:f>
            <x14:dxf>
              <font>
                <b/>
                <i val="0"/>
              </font>
            </x14:dxf>
          </x14:cfRule>
          <x14:cfRule type="expression" priority="4237" id="{67A585EA-81AF-4A2F-AD7F-4F715FE26A9E}">
            <xm:f>'FY 2024 Chron'!#REF!="McQueen, Jennifer"</xm:f>
            <x14:dxf>
              <font>
                <b/>
                <i val="0"/>
              </font>
            </x14:dxf>
          </x14:cfRule>
          <xm:sqref>W87:Y87</xm:sqref>
        </x14:conditionalFormatting>
        <x14:conditionalFormatting xmlns:xm="http://schemas.microsoft.com/office/excel/2006/main">
          <x14:cfRule type="expression" priority="4337" id="{AFC6B521-9F49-4562-8FE2-A1142DDFBF49}">
            <xm:f>'FY 2024 Chron'!#REF!="Benzick, Sue"</xm:f>
            <x14:dxf>
              <font>
                <b/>
                <i val="0"/>
              </font>
            </x14:dxf>
          </x14:cfRule>
          <x14:cfRule type="expression" priority="4338" id="{9A063264-F7BB-4EA1-B96D-E0715B3D71B8}">
            <xm:f>'FY 2024 Chron'!#REF!="Jenne, Richard"</xm:f>
            <x14:dxf>
              <font>
                <b/>
                <i val="0"/>
              </font>
            </x14:dxf>
          </x14:cfRule>
          <x14:cfRule type="expression" priority="4339" id="{67A585EA-81AF-4A2F-AD7F-4F715FE26A9E}">
            <xm:f>'FY 2024 Chron'!#REF!="McQueen, Jennifer"</xm:f>
            <x14:dxf>
              <font>
                <b/>
                <i val="0"/>
              </font>
            </x14:dxf>
          </x14:cfRule>
          <xm:sqref>X89:Y89</xm:sqref>
        </x14:conditionalFormatting>
        <x14:conditionalFormatting xmlns:xm="http://schemas.microsoft.com/office/excel/2006/main">
          <x14:cfRule type="expression" priority="4481" id="{AFC6B521-9F49-4562-8FE2-A1142DDFBF49}">
            <xm:f>'FY 2024 Chron'!#REF!="Benzick, Sue"</xm:f>
            <x14:dxf>
              <font>
                <b/>
                <i val="0"/>
              </font>
            </x14:dxf>
          </x14:cfRule>
          <x14:cfRule type="expression" priority="4482" id="{9A063264-F7BB-4EA1-B96D-E0715B3D71B8}">
            <xm:f>'FY 2024 Chron'!#REF!="Jenne, Richard"</xm:f>
            <x14:dxf>
              <font>
                <b/>
                <i val="0"/>
              </font>
            </x14:dxf>
          </x14:cfRule>
          <x14:cfRule type="expression" priority="4483" id="{67A585EA-81AF-4A2F-AD7F-4F715FE26A9E}">
            <xm:f>'FY 2024 Chron'!#REF!="McQueen, Jennifer"</xm:f>
            <x14:dxf>
              <font>
                <b/>
                <i val="0"/>
              </font>
            </x14:dxf>
          </x14:cfRule>
          <xm:sqref>X98:Y100</xm:sqref>
        </x14:conditionalFormatting>
        <x14:conditionalFormatting xmlns:xm="http://schemas.microsoft.com/office/excel/2006/main">
          <x14:cfRule type="expression" priority="4622" id="{AFC6B521-9F49-4562-8FE2-A1142DDFBF49}">
            <xm:f>'FY 2024 Chron'!#REF!="Benzick, Sue"</xm:f>
            <x14:dxf>
              <font>
                <b/>
                <i val="0"/>
              </font>
            </x14:dxf>
          </x14:cfRule>
          <x14:cfRule type="expression" priority="4623" id="{9A063264-F7BB-4EA1-B96D-E0715B3D71B8}">
            <xm:f>'FY 2024 Chron'!#REF!="Jenne, Richard"</xm:f>
            <x14:dxf>
              <font>
                <b/>
                <i val="0"/>
              </font>
            </x14:dxf>
          </x14:cfRule>
          <x14:cfRule type="expression" priority="4624" id="{67A585EA-81AF-4A2F-AD7F-4F715FE26A9E}">
            <xm:f>'FY 2024 Chron'!#REF!="McQueen, Jennifer"</xm:f>
            <x14:dxf>
              <font>
                <b/>
                <i val="0"/>
              </font>
            </x14:dxf>
          </x14:cfRule>
          <xm:sqref>X102:Y102</xm:sqref>
        </x14:conditionalFormatting>
        <x14:conditionalFormatting xmlns:xm="http://schemas.microsoft.com/office/excel/2006/main">
          <x14:cfRule type="expression" priority="5786" id="{38CA8692-E814-4303-B350-2AF85AD431E9}">
            <xm:f>'FY 2024 Chron'!#REF!="Benzick, Sue"</xm:f>
            <x14:dxf>
              <font>
                <b/>
                <i val="0"/>
              </font>
            </x14:dxf>
          </x14:cfRule>
          <x14:cfRule type="expression" priority="5787" id="{CBA1A029-F767-457A-84B1-AC7CFACEF5CE}">
            <xm:f>'FY 2024 Chron'!#REF!="Jenne, Richard"</xm:f>
            <x14:dxf>
              <font>
                <b/>
                <i val="0"/>
              </font>
            </x14:dxf>
          </x14:cfRule>
          <x14:cfRule type="expression" priority="5788" id="{620D41CF-B574-4D20-ABFB-2A775DF34ED4}">
            <xm:f>'FY 2024 Chron'!#REF!="McQueen, Jennifer"</xm:f>
            <x14:dxf>
              <font>
                <b/>
                <i val="0"/>
              </font>
            </x14:dxf>
          </x14:cfRule>
          <xm:sqref>F109:G109</xm:sqref>
        </x14:conditionalFormatting>
        <x14:conditionalFormatting xmlns:xm="http://schemas.microsoft.com/office/excel/2006/main">
          <x14:cfRule type="expression" priority="6287" id="{AFC6B521-9F49-4562-8FE2-A1142DDFBF49}">
            <xm:f>'FY 2024 Chron'!#REF!="Benzick, Sue"</xm:f>
            <x14:dxf>
              <font>
                <b/>
                <i val="0"/>
              </font>
            </x14:dxf>
          </x14:cfRule>
          <x14:cfRule type="expression" priority="6288" id="{9A063264-F7BB-4EA1-B96D-E0715B3D71B8}">
            <xm:f>'FY 2024 Chron'!#REF!="Jenne, Richard"</xm:f>
            <x14:dxf>
              <font>
                <b/>
                <i val="0"/>
              </font>
            </x14:dxf>
          </x14:cfRule>
          <x14:cfRule type="expression" priority="6289" id="{67A585EA-81AF-4A2F-AD7F-4F715FE26A9E}">
            <xm:f>'FY 2024 Chron'!#REF!="McQueen, Jennifer"</xm:f>
            <x14:dxf>
              <font>
                <b/>
                <i val="0"/>
              </font>
            </x14:dxf>
          </x14:cfRule>
          <xm:sqref>W84:Y84</xm:sqref>
        </x14:conditionalFormatting>
        <x14:conditionalFormatting xmlns:xm="http://schemas.microsoft.com/office/excel/2006/main">
          <x14:cfRule type="expression" priority="6290" id="{AFC6B521-9F49-4562-8FE2-A1142DDFBF49}">
            <xm:f>'FY 2024 Chron'!#REF!="Benzick, Sue"</xm:f>
            <x14:dxf>
              <font>
                <b/>
                <i val="0"/>
              </font>
            </x14:dxf>
          </x14:cfRule>
          <x14:cfRule type="expression" priority="6291" id="{9A063264-F7BB-4EA1-B96D-E0715B3D71B8}">
            <xm:f>'FY 2024 Chron'!#REF!="Jenne, Richard"</xm:f>
            <x14:dxf>
              <font>
                <b/>
                <i val="0"/>
              </font>
            </x14:dxf>
          </x14:cfRule>
          <x14:cfRule type="expression" priority="6292" id="{67A585EA-81AF-4A2F-AD7F-4F715FE26A9E}">
            <xm:f>'FY 2024 Chron'!#REF!="McQueen, Jennifer"</xm:f>
            <x14:dxf>
              <font>
                <b/>
                <i val="0"/>
              </font>
            </x14:dxf>
          </x14:cfRule>
          <xm:sqref>W86:Y86</xm:sqref>
        </x14:conditionalFormatting>
        <x14:conditionalFormatting xmlns:xm="http://schemas.microsoft.com/office/excel/2006/main">
          <x14:cfRule type="expression" priority="6293" id="{AFC6B521-9F49-4562-8FE2-A1142DDFBF49}">
            <xm:f>'FY 2024 Chron'!#REF!="Benzick, Sue"</xm:f>
            <x14:dxf>
              <font>
                <b/>
                <i val="0"/>
              </font>
            </x14:dxf>
          </x14:cfRule>
          <x14:cfRule type="expression" priority="6294" id="{9A063264-F7BB-4EA1-B96D-E0715B3D71B8}">
            <xm:f>'FY 2024 Chron'!#REF!="Jenne, Richard"</xm:f>
            <x14:dxf>
              <font>
                <b/>
                <i val="0"/>
              </font>
            </x14:dxf>
          </x14:cfRule>
          <x14:cfRule type="expression" priority="6295" id="{67A585EA-81AF-4A2F-AD7F-4F715FE26A9E}">
            <xm:f>'FY 2024 Chron'!#REF!="McQueen, Jennifer"</xm:f>
            <x14:dxf>
              <font>
                <b/>
                <i val="0"/>
              </font>
            </x14:dxf>
          </x14:cfRule>
          <xm:sqref>X88:Y88 X90:Y95</xm:sqref>
        </x14:conditionalFormatting>
        <x14:conditionalFormatting xmlns:xm="http://schemas.microsoft.com/office/excel/2006/main">
          <x14:cfRule type="expression" priority="6299" id="{AFC6B521-9F49-4562-8FE2-A1142DDFBF49}">
            <xm:f>'FY 2024 Chron'!#REF!="Benzick, Sue"</xm:f>
            <x14:dxf>
              <font>
                <b/>
                <i val="0"/>
              </font>
            </x14:dxf>
          </x14:cfRule>
          <x14:cfRule type="expression" priority="6300" id="{9A063264-F7BB-4EA1-B96D-E0715B3D71B8}">
            <xm:f>'FY 2024 Chron'!#REF!="Jenne, Richard"</xm:f>
            <x14:dxf>
              <font>
                <b/>
                <i val="0"/>
              </font>
            </x14:dxf>
          </x14:cfRule>
          <x14:cfRule type="expression" priority="6301" id="{67A585EA-81AF-4A2F-AD7F-4F715FE26A9E}">
            <xm:f>'FY 2024 Chron'!#REF!="McQueen, Jennifer"</xm:f>
            <x14:dxf>
              <font>
                <b/>
                <i val="0"/>
              </font>
            </x14:dxf>
          </x14:cfRule>
          <xm:sqref>X97:Y97</xm:sqref>
        </x14:conditionalFormatting>
        <x14:conditionalFormatting xmlns:xm="http://schemas.microsoft.com/office/excel/2006/main">
          <x14:cfRule type="expression" priority="6302" id="{AFC6B521-9F49-4562-8FE2-A1142DDFBF49}">
            <xm:f>'FY 2024 Chron'!#REF!="Benzick, Sue"</xm:f>
            <x14:dxf>
              <font>
                <b/>
                <i val="0"/>
              </font>
            </x14:dxf>
          </x14:cfRule>
          <x14:cfRule type="expression" priority="6303" id="{9A063264-F7BB-4EA1-B96D-E0715B3D71B8}">
            <xm:f>'FY 2024 Chron'!#REF!="Jenne, Richard"</xm:f>
            <x14:dxf>
              <font>
                <b/>
                <i val="0"/>
              </font>
            </x14:dxf>
          </x14:cfRule>
          <x14:cfRule type="expression" priority="6304" id="{67A585EA-81AF-4A2F-AD7F-4F715FE26A9E}">
            <xm:f>'FY 2024 Chron'!#REF!="McQueen, Jennifer"</xm:f>
            <x14:dxf>
              <font>
                <b/>
                <i val="0"/>
              </font>
            </x14:dxf>
          </x14:cfRule>
          <xm:sqref>X101:Y101 Y107</xm:sqref>
        </x14:conditionalFormatting>
        <x14:conditionalFormatting xmlns:xm="http://schemas.microsoft.com/office/excel/2006/main">
          <x14:cfRule type="expression" priority="6308" id="{AFC6B521-9F49-4562-8FE2-A1142DDFBF49}">
            <xm:f>'FY 2024 Chron'!#REF!="Benzick, Sue"</xm:f>
            <x14:dxf>
              <font>
                <b/>
                <i val="0"/>
              </font>
            </x14:dxf>
          </x14:cfRule>
          <x14:cfRule type="expression" priority="6309" id="{9A063264-F7BB-4EA1-B96D-E0715B3D71B8}">
            <xm:f>'FY 2024 Chron'!#REF!="Jenne, Richard"</xm:f>
            <x14:dxf>
              <font>
                <b/>
                <i val="0"/>
              </font>
            </x14:dxf>
          </x14:cfRule>
          <x14:cfRule type="expression" priority="6310" id="{67A585EA-81AF-4A2F-AD7F-4F715FE26A9E}">
            <xm:f>'FY 2024 Chron'!#REF!="McQueen, Jennifer"</xm:f>
            <x14:dxf>
              <font>
                <b/>
                <i val="0"/>
              </font>
            </x14:dxf>
          </x14:cfRule>
          <xm:sqref>X103:Y106 Y109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D00-000004000000}">
          <x14:formula1>
            <xm:f>Data!$L$2:$L$13</xm:f>
          </x14:formula1>
          <xm:sqref>AC10:AC11 AC14:AC24 X25 AC26:AC57 X58 AC59:AC66 X68:X69 AC70:AC75 X76 AC77 X78:X109 AC112 AC118:AC120 AC123 X126 AC127:AC129</xm:sqref>
        </x14:dataValidation>
        <x14:dataValidation type="list" allowBlank="1" showInputMessage="1" showErrorMessage="1" xr:uid="{00000000-0002-0000-0D00-000006000000}">
          <x14:formula1>
            <xm:f>Data!$J$2:$J$130</xm:f>
          </x14:formula1>
          <xm:sqref>E10:E11 E14:E66 E68:E109 E112 E118:E120 E123 E125:E130 E132:E138</xm:sqref>
        </x14:dataValidation>
        <x14:dataValidation type="list" allowBlank="1" showInputMessage="1" showErrorMessage="1" xr:uid="{00000000-0002-0000-0D00-000005000000}">
          <x14:formula1>
            <xm:f>Data!$F$2:$F$35</xm:f>
          </x14:formula1>
          <xm:sqref>O10:P11 O14:P66 O68:P109 O112:P112 O118:P120 O123:P123 O126:P130</xm:sqref>
        </x14:dataValidation>
      </x14:dataValidation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">
    <tabColor rgb="FF92D050"/>
    <pageSetUpPr fitToPage="1"/>
  </sheetPr>
  <dimension ref="A1:AC465"/>
  <sheetViews>
    <sheetView tabSelected="1" zoomScale="60" zoomScaleNormal="60" workbookViewId="0">
      <selection activeCell="AA1" sqref="AA1:AA1048576"/>
    </sheetView>
  </sheetViews>
  <sheetFormatPr defaultColWidth="8.7109375" defaultRowHeight="15"/>
  <cols>
    <col min="1" max="1" width="42.85546875" style="9" bestFit="1" customWidth="1"/>
    <col min="2" max="2" width="64.28515625" style="10" customWidth="1"/>
    <col min="3" max="3" width="14.28515625" style="2" customWidth="1"/>
    <col min="4" max="4" width="16.28515625" style="12" customWidth="1"/>
    <col min="5" max="5" width="21.7109375" style="10" customWidth="1"/>
    <col min="6" max="6" width="17" style="11" bestFit="1" customWidth="1"/>
    <col min="7" max="7" width="15.7109375" style="11" bestFit="1" customWidth="1"/>
    <col min="8" max="8" width="9.85546875" style="76" customWidth="1"/>
    <col min="9" max="14" width="9.7109375" style="76" customWidth="1"/>
    <col min="15" max="15" width="11.85546875" style="9" hidden="1" customWidth="1"/>
    <col min="16" max="16" width="16.5703125" style="9" hidden="1" customWidth="1"/>
    <col min="17" max="17" width="14.5703125" style="9" hidden="1" customWidth="1"/>
    <col min="18" max="18" width="11.85546875" style="9" hidden="1" customWidth="1"/>
    <col min="19" max="19" width="12.140625" style="9" hidden="1" customWidth="1"/>
    <col min="20" max="20" width="20.28515625" style="9" customWidth="1"/>
    <col min="21" max="21" width="22.42578125" style="9" customWidth="1"/>
    <col min="22" max="22" width="20.28515625" style="16" customWidth="1"/>
    <col min="23" max="23" width="16" style="75" customWidth="1"/>
    <col min="24" max="24" width="12.28515625" style="75" customWidth="1"/>
    <col min="25" max="25" width="16.42578125" style="75" customWidth="1"/>
    <col min="26" max="26" width="15.85546875" style="75" customWidth="1"/>
    <col min="27" max="27" width="16" style="75" bestFit="1" customWidth="1"/>
    <col min="28" max="29" width="11" style="9" bestFit="1" customWidth="1"/>
    <col min="30" max="16384" width="8.7109375" style="9"/>
  </cols>
  <sheetData>
    <row r="1" spans="1:29">
      <c r="A1" s="9" t="s">
        <v>42</v>
      </c>
      <c r="B1" s="9"/>
      <c r="H1" s="11"/>
      <c r="I1" s="11"/>
      <c r="J1" s="11"/>
      <c r="K1" s="11"/>
      <c r="L1" s="11"/>
      <c r="M1" s="11"/>
      <c r="N1" s="11"/>
    </row>
    <row r="2" spans="1:29">
      <c r="A2" s="10"/>
    </row>
    <row r="3" spans="1:29" s="68" customFormat="1" ht="59.25" customHeight="1" thickBot="1">
      <c r="A3" s="64" t="s">
        <v>378</v>
      </c>
      <c r="B3" s="64" t="s">
        <v>97</v>
      </c>
      <c r="C3" s="64" t="s">
        <v>167</v>
      </c>
      <c r="D3" s="183" t="s">
        <v>406</v>
      </c>
      <c r="E3" s="64" t="s">
        <v>175</v>
      </c>
      <c r="F3" s="65" t="s">
        <v>407</v>
      </c>
      <c r="G3" s="65" t="s">
        <v>408</v>
      </c>
      <c r="H3" s="128" t="s">
        <v>409</v>
      </c>
      <c r="I3" s="128" t="s">
        <v>410</v>
      </c>
      <c r="J3" s="128" t="s">
        <v>411</v>
      </c>
      <c r="K3" s="128" t="s">
        <v>412</v>
      </c>
      <c r="L3" s="128" t="s">
        <v>413</v>
      </c>
      <c r="M3" s="128" t="s">
        <v>414</v>
      </c>
      <c r="N3" s="128" t="s">
        <v>415</v>
      </c>
      <c r="O3" s="66" t="s">
        <v>455</v>
      </c>
      <c r="P3" s="64" t="s">
        <v>456</v>
      </c>
      <c r="Q3" s="66" t="s">
        <v>457</v>
      </c>
      <c r="R3" s="66" t="s">
        <v>458</v>
      </c>
      <c r="S3" s="66" t="s">
        <v>459</v>
      </c>
      <c r="T3" s="67" t="s">
        <v>169</v>
      </c>
      <c r="U3" s="67" t="s">
        <v>416</v>
      </c>
      <c r="V3" s="66" t="s">
        <v>417</v>
      </c>
      <c r="W3" s="66" t="s">
        <v>418</v>
      </c>
      <c r="X3" s="66" t="s">
        <v>365</v>
      </c>
      <c r="Y3" s="66" t="s">
        <v>386</v>
      </c>
      <c r="Z3" s="66" t="s">
        <v>419</v>
      </c>
      <c r="AA3" s="66" t="s">
        <v>420</v>
      </c>
      <c r="AB3" s="66" t="s">
        <v>421</v>
      </c>
      <c r="AC3" s="66" t="s">
        <v>422</v>
      </c>
    </row>
    <row r="4" spans="1:29" s="196" customFormat="1">
      <c r="A4" s="197"/>
      <c r="B4" s="198" t="s">
        <v>184</v>
      </c>
      <c r="C4" s="199" t="str">
        <f>VLOOKUP(Table2[[#This Row],[Course Title]],Data!$A$1:$E$56,2,FALSE)</f>
        <v>A-4J-0022</v>
      </c>
      <c r="D4" s="199" t="str">
        <f>VLOOKUP(Table2[[#This Row],[Course Title]],Data!$A$1:$E$56,3,FALSE)</f>
        <v>09ER</v>
      </c>
      <c r="E4" s="198" t="s">
        <v>116</v>
      </c>
      <c r="F4" s="200">
        <v>45201</v>
      </c>
      <c r="G4" s="201">
        <v>45205</v>
      </c>
      <c r="H4" s="201"/>
      <c r="I4" s="202">
        <v>0.54166666666666663</v>
      </c>
      <c r="J4" s="203">
        <v>0.41666666666666669</v>
      </c>
      <c r="K4" s="203">
        <v>0.83333333333333337</v>
      </c>
      <c r="L4" s="203">
        <v>0.79166666666666663</v>
      </c>
      <c r="M4" s="203">
        <v>0.29166666666666669</v>
      </c>
      <c r="N4" s="203">
        <v>8.3333333333333329E-2</v>
      </c>
      <c r="O4" s="204" t="e">
        <v>#REF!</v>
      </c>
      <c r="P4" s="204" t="e">
        <v>#REF!</v>
      </c>
      <c r="Q4" s="205"/>
      <c r="R4" s="197"/>
      <c r="S4" s="197"/>
      <c r="T4" s="206">
        <f>VLOOKUP(Table2[[#This Row],[Course Title]],Data!$A$1:$E$56,4,FALSE)</f>
        <v>45</v>
      </c>
      <c r="U4" s="206">
        <f>VLOOKUP(Table2[[#This Row],[Course Title]],Data!$A$1:$E$56,5,FALSE)</f>
        <v>5</v>
      </c>
      <c r="V4" s="206">
        <v>20</v>
      </c>
      <c r="W4" s="207">
        <v>0</v>
      </c>
      <c r="X4" s="206">
        <v>7</v>
      </c>
      <c r="Y4" s="206">
        <v>1</v>
      </c>
      <c r="Z4" s="206">
        <v>0</v>
      </c>
      <c r="AA4" s="208">
        <f ca="1">Table2[[#This Row],[End Date]]+2-TODAY()</f>
        <v>-192</v>
      </c>
      <c r="AB4" s="206">
        <f>IF(ISBLANK(#REF!),1,0)</f>
        <v>0</v>
      </c>
      <c r="AC4" s="206">
        <f ca="1">IF(Table2[[#This Row],[Start Date]]&gt;TODAY(),1,)</f>
        <v>0</v>
      </c>
    </row>
    <row r="5" spans="1:29" s="196" customFormat="1">
      <c r="A5" s="197" t="s">
        <v>460</v>
      </c>
      <c r="B5" s="198" t="s">
        <v>236</v>
      </c>
      <c r="C5" s="199" t="str">
        <f>VLOOKUP(Table2[[#This Row],[Course Title]],Data!$A$1:$E$56,2,FALSE)</f>
        <v>A-493-0103</v>
      </c>
      <c r="D5" s="199" t="str">
        <f>VLOOKUP(Table2[[#This Row],[Course Title]],Data!$A$1:$E$56,3,FALSE)</f>
        <v>12JY</v>
      </c>
      <c r="E5" s="209" t="s">
        <v>141</v>
      </c>
      <c r="F5" s="201">
        <v>45201</v>
      </c>
      <c r="G5" s="201">
        <v>45205</v>
      </c>
      <c r="H5" s="203">
        <v>0.33333333333333331</v>
      </c>
      <c r="I5" s="203"/>
      <c r="J5" s="201"/>
      <c r="K5" s="201"/>
      <c r="L5" s="201"/>
      <c r="M5" s="201"/>
      <c r="N5" s="201"/>
      <c r="O5" s="204" t="e">
        <v>#REF!</v>
      </c>
      <c r="P5" s="204" t="e">
        <v>#REF!</v>
      </c>
      <c r="Q5" s="205"/>
      <c r="R5" s="197"/>
      <c r="S5" s="197"/>
      <c r="T5" s="206">
        <f>VLOOKUP(Table2[[#This Row],[Course Title]],Data!$A$1:$E$56,4,FALSE)</f>
        <v>25</v>
      </c>
      <c r="U5" s="206">
        <f>VLOOKUP(Table2[[#This Row],[Course Title]],Data!$A$1:$E$56,5,FALSE)</f>
        <v>5</v>
      </c>
      <c r="V5" s="206">
        <v>17</v>
      </c>
      <c r="W5" s="207">
        <v>0</v>
      </c>
      <c r="X5" s="206">
        <v>10</v>
      </c>
      <c r="Y5" s="206">
        <v>3</v>
      </c>
      <c r="Z5" s="199">
        <v>0</v>
      </c>
      <c r="AA5" s="208">
        <f ca="1">Table2[[#This Row],[End Date]]+2-TODAY()</f>
        <v>-192</v>
      </c>
      <c r="AB5" s="206">
        <f>IF(ISBLANK(#REF!),1,0)</f>
        <v>0</v>
      </c>
      <c r="AC5" s="206">
        <f ca="1">IF(Table2[[#This Row],[Start Date]]&gt;TODAY(),1,)</f>
        <v>0</v>
      </c>
    </row>
    <row r="6" spans="1:29" s="196" customFormat="1">
      <c r="A6" s="197"/>
      <c r="B6" s="198" t="s">
        <v>14</v>
      </c>
      <c r="C6" s="199" t="str">
        <f>VLOOKUP(Table2[[#This Row],[Course Title]],Data!$A$1:$E$56,2,FALSE)</f>
        <v>A-493-0030</v>
      </c>
      <c r="D6" s="199" t="str">
        <f>VLOOKUP(Table2[[#This Row],[Course Title]],Data!$A$1:$E$56,3,FALSE)</f>
        <v>286X</v>
      </c>
      <c r="E6" s="209" t="s">
        <v>140</v>
      </c>
      <c r="F6" s="201">
        <v>45201</v>
      </c>
      <c r="G6" s="201">
        <v>45205</v>
      </c>
      <c r="H6" s="203">
        <v>0.33333333333333331</v>
      </c>
      <c r="I6" s="203"/>
      <c r="J6" s="201"/>
      <c r="K6" s="201"/>
      <c r="L6" s="201"/>
      <c r="M6" s="201"/>
      <c r="N6" s="201"/>
      <c r="O6" s="204" t="e">
        <v>#REF!</v>
      </c>
      <c r="P6" s="204" t="e">
        <v>#REF!</v>
      </c>
      <c r="Q6" s="205"/>
      <c r="R6" s="197"/>
      <c r="S6" s="197"/>
      <c r="T6" s="206">
        <f>VLOOKUP(Table2[[#This Row],[Course Title]],Data!$A$1:$E$56,4,FALSE)</f>
        <v>25</v>
      </c>
      <c r="U6" s="206">
        <f>VLOOKUP(Table2[[#This Row],[Course Title]],Data!$A$1:$E$56,5,FALSE)</f>
        <v>5</v>
      </c>
      <c r="V6" s="206">
        <v>8</v>
      </c>
      <c r="W6" s="207">
        <v>1</v>
      </c>
      <c r="X6" s="206">
        <v>14</v>
      </c>
      <c r="Y6" s="206">
        <v>1</v>
      </c>
      <c r="Z6" s="199">
        <v>0</v>
      </c>
      <c r="AA6" s="208">
        <f ca="1">Table2[[#This Row],[End Date]]+2-TODAY()</f>
        <v>-192</v>
      </c>
      <c r="AB6" s="206">
        <f>IF(ISBLANK(#REF!),1,0)</f>
        <v>0</v>
      </c>
      <c r="AC6" s="206">
        <f ca="1">IF(Table2[[#This Row],[Start Date]]&gt;TODAY(),1,)</f>
        <v>0</v>
      </c>
    </row>
    <row r="7" spans="1:29" s="196" customFormat="1">
      <c r="A7" s="197"/>
      <c r="B7" s="198" t="s">
        <v>276</v>
      </c>
      <c r="C7" s="199" t="str">
        <f>VLOOKUP(Table2[[#This Row],[Course Title]],Data!$A$1:$E$56,2,FALSE)</f>
        <v>A-493-0550</v>
      </c>
      <c r="D7" s="199" t="str">
        <f>VLOOKUP(Table2[[#This Row],[Course Title]],Data!$A$1:$E$56,3,FALSE)</f>
        <v>09K5</v>
      </c>
      <c r="E7" s="198" t="s">
        <v>116</v>
      </c>
      <c r="F7" s="201">
        <v>45201</v>
      </c>
      <c r="G7" s="201">
        <v>45205</v>
      </c>
      <c r="H7" s="201"/>
      <c r="I7" s="202">
        <v>0.54166666666666663</v>
      </c>
      <c r="J7" s="203">
        <v>0.41666666666666669</v>
      </c>
      <c r="K7" s="203">
        <v>0.83333333333333337</v>
      </c>
      <c r="L7" s="203">
        <v>0.79166666666666663</v>
      </c>
      <c r="M7" s="203">
        <v>0.29166666666666669</v>
      </c>
      <c r="N7" s="203">
        <v>8.3333333333333329E-2</v>
      </c>
      <c r="O7" s="204" t="e">
        <v>#REF!</v>
      </c>
      <c r="P7" s="204" t="e">
        <v>#REF!</v>
      </c>
      <c r="Q7" s="205"/>
      <c r="R7" s="197"/>
      <c r="S7" s="197"/>
      <c r="T7" s="206">
        <f>VLOOKUP(Table2[[#This Row],[Course Title]],Data!$A$1:$E$56,4,FALSE)</f>
        <v>45</v>
      </c>
      <c r="U7" s="206">
        <f>VLOOKUP(Table2[[#This Row],[Course Title]],Data!$A$1:$E$56,5,FALSE)</f>
        <v>4</v>
      </c>
      <c r="V7" s="206">
        <v>39</v>
      </c>
      <c r="W7" s="207">
        <v>0</v>
      </c>
      <c r="X7" s="206">
        <v>7</v>
      </c>
      <c r="Y7" s="206">
        <v>2</v>
      </c>
      <c r="Z7" s="206">
        <v>0</v>
      </c>
      <c r="AA7" s="208">
        <f ca="1">Table2[[#This Row],[End Date]]+2-TODAY()</f>
        <v>-192</v>
      </c>
      <c r="AB7" s="206">
        <f>IF(ISBLANK(#REF!),1,0)</f>
        <v>0</v>
      </c>
      <c r="AC7" s="206">
        <f ca="1">IF(Table2[[#This Row],[Start Date]]&gt;TODAY(),1,)</f>
        <v>0</v>
      </c>
    </row>
    <row r="8" spans="1:29" s="196" customFormat="1">
      <c r="A8" s="197"/>
      <c r="B8" s="198" t="s">
        <v>287</v>
      </c>
      <c r="C8" s="199" t="str">
        <f>VLOOKUP(Table2[[#This Row],[Course Title]],Data!$A$1:$E$56,2,FALSE)</f>
        <v>A-493-0078</v>
      </c>
      <c r="D8" s="199">
        <f>VLOOKUP(Table2[[#This Row],[Course Title]],Data!$A$1:$E$56,3,FALSE)</f>
        <v>1228</v>
      </c>
      <c r="E8" s="198" t="s">
        <v>116</v>
      </c>
      <c r="F8" s="201">
        <v>45201</v>
      </c>
      <c r="G8" s="201">
        <v>45205</v>
      </c>
      <c r="H8" s="201"/>
      <c r="I8" s="202">
        <v>0.33333333333333331</v>
      </c>
      <c r="J8" s="203">
        <v>0.20833333333333334</v>
      </c>
      <c r="K8" s="203">
        <v>0.625</v>
      </c>
      <c r="L8" s="203">
        <v>0.58333333333333337</v>
      </c>
      <c r="M8" s="203">
        <v>8.3333333333333329E-2</v>
      </c>
      <c r="N8" s="203">
        <v>0.875</v>
      </c>
      <c r="O8" s="204" t="e">
        <v>#REF!</v>
      </c>
      <c r="P8" s="204" t="e">
        <v>#REF!</v>
      </c>
      <c r="Q8" s="205"/>
      <c r="R8" s="197"/>
      <c r="S8" s="197"/>
      <c r="T8" s="206">
        <f>VLOOKUP(Table2[[#This Row],[Course Title]],Data!$A$1:$E$56,4,FALSE)</f>
        <v>45</v>
      </c>
      <c r="U8" s="206">
        <f>VLOOKUP(Table2[[#This Row],[Course Title]],Data!$A$1:$E$56,5,FALSE)</f>
        <v>5</v>
      </c>
      <c r="V8" s="206">
        <v>38</v>
      </c>
      <c r="W8" s="207">
        <v>1</v>
      </c>
      <c r="X8" s="206">
        <v>6</v>
      </c>
      <c r="Y8" s="206">
        <v>0</v>
      </c>
      <c r="Z8" s="206">
        <v>0</v>
      </c>
      <c r="AA8" s="208">
        <f ca="1">Table2[[#This Row],[End Date]]+2-TODAY()</f>
        <v>-192</v>
      </c>
      <c r="AB8" s="206">
        <f>IF(ISBLANK(#REF!),1,0)</f>
        <v>0</v>
      </c>
      <c r="AC8" s="206">
        <f ca="1">IF(Table2[[#This Row],[Start Date]]&gt;TODAY(),1,)</f>
        <v>0</v>
      </c>
    </row>
    <row r="9" spans="1:29" s="196" customFormat="1">
      <c r="A9" s="197"/>
      <c r="B9" s="198" t="s">
        <v>34</v>
      </c>
      <c r="C9" s="199" t="str">
        <f>VLOOKUP(Table2[[#This Row],[Course Title]],Data!$A$1:$E$56,2,FALSE)</f>
        <v>A-493-0085</v>
      </c>
      <c r="D9" s="199">
        <f>VLOOKUP(Table2[[#This Row],[Course Title]],Data!$A$1:$E$56,3,FALSE)</f>
        <v>3555</v>
      </c>
      <c r="E9" s="198" t="s">
        <v>116</v>
      </c>
      <c r="F9" s="201">
        <v>45201</v>
      </c>
      <c r="G9" s="201">
        <v>45204</v>
      </c>
      <c r="H9" s="201"/>
      <c r="I9" s="202">
        <v>0.5</v>
      </c>
      <c r="J9" s="202">
        <v>0.375</v>
      </c>
      <c r="K9" s="202">
        <v>0.79166666666666663</v>
      </c>
      <c r="L9" s="202">
        <v>0.70833333333333337</v>
      </c>
      <c r="M9" s="202">
        <v>0.25</v>
      </c>
      <c r="N9" s="202">
        <v>4.1666666666666664E-2</v>
      </c>
      <c r="O9" s="204" t="e">
        <v>#REF!</v>
      </c>
      <c r="P9" s="204" t="e">
        <v>#REF!</v>
      </c>
      <c r="Q9" s="204"/>
      <c r="R9" s="197"/>
      <c r="S9" s="197"/>
      <c r="T9" s="206">
        <f>VLOOKUP(Table2[[#This Row],[Course Title]],Data!$A$1:$E$56,4,FALSE)</f>
        <v>30</v>
      </c>
      <c r="U9" s="206">
        <f>VLOOKUP(Table2[[#This Row],[Course Title]],Data!$A$1:$E$56,5,FALSE)</f>
        <v>4</v>
      </c>
      <c r="V9" s="206">
        <v>22</v>
      </c>
      <c r="W9" s="207">
        <v>1</v>
      </c>
      <c r="X9" s="206">
        <v>7</v>
      </c>
      <c r="Y9" s="206">
        <v>0</v>
      </c>
      <c r="Z9" s="206">
        <v>0</v>
      </c>
      <c r="AA9" s="208">
        <f ca="1">Table2[[#This Row],[End Date]]+2-TODAY()</f>
        <v>-193</v>
      </c>
      <c r="AB9" s="206">
        <f>IF(ISBLANK(#REF!),1,0)</f>
        <v>0</v>
      </c>
      <c r="AC9" s="206">
        <f ca="1">IF(Table2[[#This Row],[Start Date]]&gt;TODAY(),1,)</f>
        <v>0</v>
      </c>
    </row>
    <row r="10" spans="1:29" s="196" customFormat="1">
      <c r="A10" s="197"/>
      <c r="B10" s="198" t="s">
        <v>38</v>
      </c>
      <c r="C10" s="199" t="str">
        <f>VLOOKUP(Table2[[#This Row],[Course Title]],Data!$A$1:$E$56,2,FALSE)</f>
        <v>A-493-0072</v>
      </c>
      <c r="D10" s="199" t="str">
        <f>VLOOKUP(Table2[[#This Row],[Course Title]],Data!$A$1:$E$56,3,FALSE)</f>
        <v>713U</v>
      </c>
      <c r="E10" s="209" t="s">
        <v>334</v>
      </c>
      <c r="F10" s="201">
        <v>45201</v>
      </c>
      <c r="G10" s="201">
        <v>45204</v>
      </c>
      <c r="H10" s="210">
        <v>0.33333333333333331</v>
      </c>
      <c r="I10" s="210"/>
      <c r="J10" s="201"/>
      <c r="K10" s="201"/>
      <c r="L10" s="201"/>
      <c r="M10" s="201"/>
      <c r="N10" s="201"/>
      <c r="O10" s="204" t="e">
        <v>#REF!</v>
      </c>
      <c r="P10" s="204" t="e">
        <v>#REF!</v>
      </c>
      <c r="Q10" s="205"/>
      <c r="R10" s="197"/>
      <c r="S10" s="197"/>
      <c r="T10" s="206">
        <f>VLOOKUP(Table2[[#This Row],[Course Title]],Data!$A$1:$E$56,4,FALSE)</f>
        <v>30</v>
      </c>
      <c r="U10" s="206">
        <f>VLOOKUP(Table2[[#This Row],[Course Title]],Data!$A$1:$E$56,5,FALSE)</f>
        <v>4</v>
      </c>
      <c r="V10" s="206">
        <v>23</v>
      </c>
      <c r="W10" s="207">
        <v>0</v>
      </c>
      <c r="X10" s="206">
        <v>10</v>
      </c>
      <c r="Y10" s="206">
        <v>3</v>
      </c>
      <c r="Z10" s="206">
        <v>0</v>
      </c>
      <c r="AA10" s="208">
        <f ca="1">Table2[[#This Row],[End Date]]+2-TODAY()</f>
        <v>-193</v>
      </c>
      <c r="AB10" s="206">
        <f>IF(ISBLANK(#REF!),1,0)</f>
        <v>0</v>
      </c>
      <c r="AC10" s="206">
        <f ca="1">IF(Table2[[#This Row],[Start Date]]&gt;TODAY(),1,)</f>
        <v>0</v>
      </c>
    </row>
    <row r="11" spans="1:29" s="196" customFormat="1">
      <c r="A11" s="197"/>
      <c r="B11" s="198" t="s">
        <v>23</v>
      </c>
      <c r="C11" s="199" t="str">
        <f>VLOOKUP(Table2[[#This Row],[Course Title]],Data!$A$1:$E$56,2,FALSE)</f>
        <v>A-493-0077</v>
      </c>
      <c r="D11" s="199" t="str">
        <f>VLOOKUP(Table2[[#This Row],[Course Title]],Data!$A$1:$E$56,3,FALSE)</f>
        <v>0381</v>
      </c>
      <c r="E11" s="198" t="s">
        <v>158</v>
      </c>
      <c r="F11" s="201">
        <v>45201</v>
      </c>
      <c r="G11" s="201">
        <v>45203</v>
      </c>
      <c r="H11" s="210">
        <v>0.33333333333333331</v>
      </c>
      <c r="I11" s="203"/>
      <c r="J11" s="201"/>
      <c r="K11" s="201"/>
      <c r="L11" s="201"/>
      <c r="M11" s="201"/>
      <c r="N11" s="201"/>
      <c r="O11" s="207"/>
      <c r="P11" s="204"/>
      <c r="Q11" s="207"/>
      <c r="R11" s="197"/>
      <c r="S11" s="197"/>
      <c r="T11" s="207">
        <v>25</v>
      </c>
      <c r="U11" s="204">
        <v>3</v>
      </c>
      <c r="V11" s="207">
        <v>25</v>
      </c>
      <c r="W11" s="207">
        <v>1</v>
      </c>
      <c r="X11" s="206">
        <v>5</v>
      </c>
      <c r="Y11" s="206">
        <v>23</v>
      </c>
      <c r="Z11" s="206">
        <v>0</v>
      </c>
      <c r="AA11" s="208">
        <f ca="1">Table2[[#This Row],[End Date]]+2-TODAY()</f>
        <v>-194</v>
      </c>
      <c r="AB11" s="206">
        <f>IF(ISBLANK(#REF!),1,0)</f>
        <v>0</v>
      </c>
      <c r="AC11" s="206">
        <f ca="1">IF(Table2[[#This Row],[Start Date]]&gt;TODAY(),1,)</f>
        <v>0</v>
      </c>
    </row>
    <row r="12" spans="1:29" s="196" customFormat="1">
      <c r="A12" s="197"/>
      <c r="B12" s="198" t="s">
        <v>24</v>
      </c>
      <c r="C12" s="199" t="str">
        <f>VLOOKUP(Table2[[#This Row],[Course Title]],Data!$A$1:$E$56,2,FALSE)</f>
        <v>A-493-0083</v>
      </c>
      <c r="D12" s="199" t="str">
        <f>VLOOKUP(Table2[[#This Row],[Course Title]],Data!$A$1:$E$56,3,FALSE)</f>
        <v>339E</v>
      </c>
      <c r="E12" s="198" t="s">
        <v>158</v>
      </c>
      <c r="F12" s="201">
        <v>45204</v>
      </c>
      <c r="G12" s="201">
        <v>45204</v>
      </c>
      <c r="H12" s="210">
        <v>0.33333333333333331</v>
      </c>
      <c r="I12" s="203"/>
      <c r="J12" s="201"/>
      <c r="K12" s="201"/>
      <c r="L12" s="201"/>
      <c r="M12" s="201"/>
      <c r="N12" s="201"/>
      <c r="O12" s="207"/>
      <c r="P12" s="204"/>
      <c r="Q12" s="207"/>
      <c r="R12" s="197"/>
      <c r="S12" s="197"/>
      <c r="T12" s="207">
        <v>30</v>
      </c>
      <c r="U12" s="204">
        <v>1</v>
      </c>
      <c r="V12" s="207">
        <v>6</v>
      </c>
      <c r="W12" s="207">
        <v>0</v>
      </c>
      <c r="X12" s="206">
        <v>0</v>
      </c>
      <c r="Y12" s="206">
        <v>5</v>
      </c>
      <c r="Z12" s="199">
        <v>0</v>
      </c>
      <c r="AA12" s="208">
        <f ca="1">Table2[[#This Row],[End Date]]+2-TODAY()</f>
        <v>-193</v>
      </c>
      <c r="AB12" s="206">
        <f>IF(ISBLANK(#REF!),1,0)</f>
        <v>0</v>
      </c>
      <c r="AC12" s="206">
        <f ca="1">IF(Table2[[#This Row],[Start Date]]&gt;TODAY(),1,)</f>
        <v>0</v>
      </c>
    </row>
    <row r="13" spans="1:29" s="196" customFormat="1">
      <c r="A13" s="198" t="s">
        <v>461</v>
      </c>
      <c r="B13" s="198" t="s">
        <v>330</v>
      </c>
      <c r="C13" s="199" t="str">
        <f>VLOOKUP(Table2[[#This Row],[Course Title]],Data!$A$1:$E$56,2,FALSE)</f>
        <v>Holiday</v>
      </c>
      <c r="D13" s="199" t="str">
        <f>VLOOKUP(Table2[[#This Row],[Course Title]],Data!$A$1:$E$56,3,FALSE)</f>
        <v>Holiday</v>
      </c>
      <c r="E13" s="198"/>
      <c r="F13" s="201">
        <v>45208</v>
      </c>
      <c r="G13" s="201">
        <v>45208</v>
      </c>
      <c r="H13" s="203">
        <v>0</v>
      </c>
      <c r="I13" s="203">
        <v>0</v>
      </c>
      <c r="J13" s="203">
        <v>0</v>
      </c>
      <c r="K13" s="203">
        <v>0</v>
      </c>
      <c r="L13" s="203">
        <v>0</v>
      </c>
      <c r="M13" s="203">
        <v>0</v>
      </c>
      <c r="N13" s="203">
        <v>0</v>
      </c>
      <c r="O13" s="204" t="e">
        <v>#REF!</v>
      </c>
      <c r="P13" s="204" t="e">
        <v>#REF!</v>
      </c>
      <c r="Q13" s="205">
        <v>0</v>
      </c>
      <c r="R13" s="197">
        <v>0</v>
      </c>
      <c r="S13" s="197">
        <v>0</v>
      </c>
      <c r="T13" s="206">
        <f>VLOOKUP(Table2[[#This Row],[Course Title]],Data!$A$1:$E$56,4,FALSE)</f>
        <v>0</v>
      </c>
      <c r="U13" s="206">
        <f>VLOOKUP(Table2[[#This Row],[Course Title]],Data!$A$1:$E$56,5,FALSE)</f>
        <v>0</v>
      </c>
      <c r="V13" s="206">
        <v>0</v>
      </c>
      <c r="W13" s="207">
        <v>0</v>
      </c>
      <c r="X13" s="206">
        <v>0</v>
      </c>
      <c r="Y13" s="206">
        <v>0</v>
      </c>
      <c r="Z13" s="206">
        <v>0</v>
      </c>
      <c r="AA13" s="208">
        <f ca="1">Table2[[#This Row],[End Date]]+2-TODAY()</f>
        <v>-189</v>
      </c>
      <c r="AB13" s="206">
        <f>IF(ISBLANK(#REF!),1,0)</f>
        <v>0</v>
      </c>
      <c r="AC13" s="206">
        <f ca="1">IF(Table2[[#This Row],[Start Date]]&gt;TODAY(),1,)</f>
        <v>0</v>
      </c>
    </row>
    <row r="14" spans="1:29" s="196" customFormat="1">
      <c r="A14" s="197"/>
      <c r="B14" s="198" t="s">
        <v>11</v>
      </c>
      <c r="C14" s="199" t="str">
        <f>VLOOKUP(Table2[[#This Row],[Course Title]],Data!$A$1:$E$56,2,FALSE)</f>
        <v>A-493-0070</v>
      </c>
      <c r="D14" s="199" t="str">
        <f>VLOOKUP(Table2[[#This Row],[Course Title]],Data!$A$1:$E$56,3,FALSE)</f>
        <v>450V</v>
      </c>
      <c r="E14" s="209" t="s">
        <v>141</v>
      </c>
      <c r="F14" s="201">
        <v>45210</v>
      </c>
      <c r="G14" s="201">
        <v>45210</v>
      </c>
      <c r="H14" s="210">
        <v>0.33333333333333331</v>
      </c>
      <c r="I14" s="210"/>
      <c r="J14" s="201"/>
      <c r="K14" s="201"/>
      <c r="L14" s="201"/>
      <c r="M14" s="201"/>
      <c r="N14" s="201"/>
      <c r="O14" s="204" t="e">
        <v>#REF!</v>
      </c>
      <c r="P14" s="204" t="e">
        <v>#REF!</v>
      </c>
      <c r="Q14" s="204"/>
      <c r="R14" s="197"/>
      <c r="S14" s="197"/>
      <c r="T14" s="206">
        <f>VLOOKUP(Table2[[#This Row],[Course Title]],Data!$A$1:$E$56,4,FALSE)</f>
        <v>30</v>
      </c>
      <c r="U14" s="206">
        <f>VLOOKUP(Table2[[#This Row],[Course Title]],Data!$A$1:$E$56,5,FALSE)</f>
        <v>1</v>
      </c>
      <c r="V14" s="206">
        <v>14</v>
      </c>
      <c r="W14" s="207">
        <v>0</v>
      </c>
      <c r="X14" s="206">
        <v>2</v>
      </c>
      <c r="Y14" s="206">
        <v>0</v>
      </c>
      <c r="Z14" s="206">
        <v>0</v>
      </c>
      <c r="AA14" s="208">
        <f ca="1">Table2[[#This Row],[End Date]]+2-TODAY()</f>
        <v>-187</v>
      </c>
      <c r="AB14" s="206">
        <f>IF(ISBLANK(#REF!),1,0)</f>
        <v>0</v>
      </c>
      <c r="AC14" s="206">
        <f ca="1">IF(Table2[[#This Row],[Start Date]]&gt;TODAY(),1,)</f>
        <v>0</v>
      </c>
    </row>
    <row r="15" spans="1:29" s="211" customFormat="1">
      <c r="A15" s="197"/>
      <c r="B15" s="198" t="s">
        <v>7</v>
      </c>
      <c r="C15" s="199" t="str">
        <f>VLOOKUP(Table2[[#This Row],[Course Title]],Data!$A$1:$E$56,2,FALSE)</f>
        <v>A-493-0015</v>
      </c>
      <c r="D15" s="199">
        <f>VLOOKUP(Table2[[#This Row],[Course Title]],Data!$A$1:$E$56,3,FALSE)</f>
        <v>3879</v>
      </c>
      <c r="E15" s="209" t="s">
        <v>141</v>
      </c>
      <c r="F15" s="201">
        <v>45211</v>
      </c>
      <c r="G15" s="201">
        <v>45211</v>
      </c>
      <c r="H15" s="210">
        <v>0.33333333333333331</v>
      </c>
      <c r="I15" s="210"/>
      <c r="J15" s="201"/>
      <c r="K15" s="201"/>
      <c r="L15" s="201"/>
      <c r="M15" s="201"/>
      <c r="N15" s="201"/>
      <c r="O15" s="204" t="e">
        <v>#REF!</v>
      </c>
      <c r="P15" s="204" t="e">
        <v>#REF!</v>
      </c>
      <c r="Q15" s="207"/>
      <c r="R15" s="197"/>
      <c r="S15" s="197"/>
      <c r="T15" s="206">
        <f>VLOOKUP(Table2[[#This Row],[Course Title]],Data!$A$1:$E$56,4,FALSE)</f>
        <v>30</v>
      </c>
      <c r="U15" s="206">
        <f>VLOOKUP(Table2[[#This Row],[Course Title]],Data!$A$1:$E$56,5,FALSE)</f>
        <v>1</v>
      </c>
      <c r="V15" s="206">
        <v>17</v>
      </c>
      <c r="W15" s="207">
        <v>0</v>
      </c>
      <c r="X15" s="206">
        <v>0</v>
      </c>
      <c r="Y15" s="206">
        <v>0</v>
      </c>
      <c r="Z15" s="206">
        <v>0</v>
      </c>
      <c r="AA15" s="208">
        <f ca="1">Table2[[#This Row],[End Date]]+2-TODAY()</f>
        <v>-186</v>
      </c>
      <c r="AB15" s="206">
        <f>IF(ISBLANK(#REF!),1,0)</f>
        <v>0</v>
      </c>
      <c r="AC15" s="206">
        <f ca="1">IF(Table2[[#This Row],[Start Date]]&gt;TODAY(),1,)</f>
        <v>0</v>
      </c>
    </row>
    <row r="16" spans="1:29" s="211" customFormat="1">
      <c r="A16" s="197"/>
      <c r="B16" s="198" t="s">
        <v>9</v>
      </c>
      <c r="C16" s="199" t="str">
        <f>VLOOKUP(Table2[[#This Row],[Course Title]],Data!$A$1:$E$56,2,FALSE)</f>
        <v>A-493-0020</v>
      </c>
      <c r="D16" s="199">
        <f>VLOOKUP(Table2[[#This Row],[Course Title]],Data!$A$1:$E$56,3,FALSE)</f>
        <v>3888</v>
      </c>
      <c r="E16" s="209" t="s">
        <v>141</v>
      </c>
      <c r="F16" s="201">
        <v>45211</v>
      </c>
      <c r="G16" s="201">
        <v>45211</v>
      </c>
      <c r="H16" s="210">
        <v>0.5</v>
      </c>
      <c r="I16" s="210"/>
      <c r="J16" s="201"/>
      <c r="K16" s="201"/>
      <c r="L16" s="201"/>
      <c r="M16" s="201"/>
      <c r="N16" s="201"/>
      <c r="O16" s="204" t="e">
        <v>#REF!</v>
      </c>
      <c r="P16" s="204" t="e">
        <v>#REF!</v>
      </c>
      <c r="Q16" s="205"/>
      <c r="R16" s="197"/>
      <c r="S16" s="197"/>
      <c r="T16" s="206">
        <f>VLOOKUP(Table2[[#This Row],[Course Title]],Data!$A$1:$E$56,4,FALSE)</f>
        <v>30</v>
      </c>
      <c r="U16" s="206">
        <f>VLOOKUP(Table2[[#This Row],[Course Title]],Data!$A$1:$E$56,5,FALSE)</f>
        <v>1</v>
      </c>
      <c r="V16" s="206">
        <v>6</v>
      </c>
      <c r="W16" s="207">
        <v>0</v>
      </c>
      <c r="X16" s="206">
        <v>0</v>
      </c>
      <c r="Y16" s="206">
        <v>0</v>
      </c>
      <c r="Z16" s="206">
        <v>0</v>
      </c>
      <c r="AA16" s="208">
        <f ca="1">Table2[[#This Row],[End Date]]+2-TODAY()</f>
        <v>-186</v>
      </c>
      <c r="AB16" s="206">
        <f>IF(ISBLANK(#REF!),1,0)</f>
        <v>0</v>
      </c>
      <c r="AC16" s="206">
        <f ca="1">IF(Table2[[#This Row],[Start Date]]&gt;TODAY(),1,)</f>
        <v>0</v>
      </c>
    </row>
    <row r="17" spans="1:29" s="212" customFormat="1" ht="13.5" customHeight="1">
      <c r="A17" s="197" t="s">
        <v>462</v>
      </c>
      <c r="B17" s="198" t="s">
        <v>331</v>
      </c>
      <c r="C17" s="199" t="str">
        <f>VLOOKUP(Table2[[#This Row],[Course Title]],Data!$A$1:$E$56,2,FALSE)</f>
        <v>NA</v>
      </c>
      <c r="D17" s="199" t="str">
        <f>VLOOKUP(Table2[[#This Row],[Course Title]],Data!$A$1:$E$56,3,FALSE)</f>
        <v>NA</v>
      </c>
      <c r="E17" s="198" t="s">
        <v>140</v>
      </c>
      <c r="F17" s="201">
        <v>45211</v>
      </c>
      <c r="G17" s="201">
        <v>45211</v>
      </c>
      <c r="H17" s="203">
        <v>0</v>
      </c>
      <c r="I17" s="203">
        <v>0</v>
      </c>
      <c r="J17" s="203">
        <v>0</v>
      </c>
      <c r="K17" s="203">
        <v>0</v>
      </c>
      <c r="L17" s="203">
        <v>0</v>
      </c>
      <c r="M17" s="203">
        <v>0</v>
      </c>
      <c r="N17" s="203">
        <v>0</v>
      </c>
      <c r="O17" s="207"/>
      <c r="P17" s="204"/>
      <c r="Q17" s="207"/>
      <c r="R17" s="197"/>
      <c r="S17" s="197"/>
      <c r="T17" s="207">
        <v>0</v>
      </c>
      <c r="U17" s="204">
        <v>0</v>
      </c>
      <c r="V17" s="207">
        <v>0</v>
      </c>
      <c r="W17" s="207">
        <v>0</v>
      </c>
      <c r="X17" s="206">
        <v>0</v>
      </c>
      <c r="Y17" s="206">
        <v>0</v>
      </c>
      <c r="Z17" s="206">
        <v>0</v>
      </c>
      <c r="AA17" s="208">
        <f ca="1">Table2[[#This Row],[End Date]]+2-TODAY()</f>
        <v>-186</v>
      </c>
      <c r="AB17" s="206">
        <f>IF(ISBLANK(#REF!),1,0)</f>
        <v>0</v>
      </c>
      <c r="AC17" s="206">
        <f ca="1">IF(Table2[[#This Row],[Start Date]]&gt;TODAY(),1,)</f>
        <v>0</v>
      </c>
    </row>
    <row r="18" spans="1:29" s="196" customFormat="1">
      <c r="A18" s="198"/>
      <c r="B18" s="198" t="s">
        <v>10</v>
      </c>
      <c r="C18" s="199" t="str">
        <f>VLOOKUP(Table2[[#This Row],[Course Title]],Data!$A$1:$E$56,2,FALSE)</f>
        <v>A-493-0069</v>
      </c>
      <c r="D18" s="199" t="str">
        <f>VLOOKUP(Table2[[#This Row],[Course Title]],Data!$A$1:$E$56,3,FALSE)</f>
        <v>450U</v>
      </c>
      <c r="E18" s="209" t="s">
        <v>141</v>
      </c>
      <c r="F18" s="201">
        <v>45215</v>
      </c>
      <c r="G18" s="201">
        <v>45219</v>
      </c>
      <c r="H18" s="210">
        <v>0.33333333333333331</v>
      </c>
      <c r="I18" s="210"/>
      <c r="J18" s="201"/>
      <c r="K18" s="201"/>
      <c r="L18" s="201"/>
      <c r="M18" s="201"/>
      <c r="N18" s="201"/>
      <c r="O18" s="204" t="e">
        <v>#REF!</v>
      </c>
      <c r="P18" s="204" t="e">
        <v>#REF!</v>
      </c>
      <c r="Q18" s="204"/>
      <c r="R18" s="197"/>
      <c r="S18" s="197"/>
      <c r="T18" s="206">
        <f>VLOOKUP(Table2[[#This Row],[Course Title]],Data!$A$1:$E$56,4,FALSE)</f>
        <v>25</v>
      </c>
      <c r="U18" s="206">
        <f>VLOOKUP(Table2[[#This Row],[Course Title]],Data!$A$1:$E$56,5,FALSE)</f>
        <v>5</v>
      </c>
      <c r="V18" s="206">
        <v>7</v>
      </c>
      <c r="W18" s="207">
        <v>0</v>
      </c>
      <c r="X18" s="206">
        <v>3</v>
      </c>
      <c r="Y18" s="206">
        <v>1</v>
      </c>
      <c r="Z18" s="199">
        <v>0</v>
      </c>
      <c r="AA18" s="208">
        <f ca="1">Table2[[#This Row],[End Date]]+2-TODAY()</f>
        <v>-178</v>
      </c>
      <c r="AB18" s="206">
        <f>IF(ISBLANK(#REF!),1,0)</f>
        <v>0</v>
      </c>
      <c r="AC18" s="206">
        <f ca="1">IF(Table2[[#This Row],[Start Date]]&gt;TODAY(),1,)</f>
        <v>0</v>
      </c>
    </row>
    <row r="19" spans="1:29" s="196" customFormat="1">
      <c r="A19" s="197" t="s">
        <v>463</v>
      </c>
      <c r="B19" s="198" t="s">
        <v>236</v>
      </c>
      <c r="C19" s="199" t="str">
        <f>VLOOKUP(Table2[[#This Row],[Course Title]],Data!$A$1:$E$56,2,FALSE)</f>
        <v>A-493-0103</v>
      </c>
      <c r="D19" s="199" t="str">
        <f>VLOOKUP(Table2[[#This Row],[Course Title]],Data!$A$1:$E$56,3,FALSE)</f>
        <v>12JY</v>
      </c>
      <c r="E19" s="209" t="s">
        <v>141</v>
      </c>
      <c r="F19" s="201">
        <v>45215</v>
      </c>
      <c r="G19" s="201">
        <v>45219</v>
      </c>
      <c r="H19" s="203">
        <v>0.33333333333333331</v>
      </c>
      <c r="I19" s="203"/>
      <c r="J19" s="201"/>
      <c r="K19" s="201"/>
      <c r="L19" s="201"/>
      <c r="M19" s="201"/>
      <c r="N19" s="201"/>
      <c r="O19" s="213" t="e">
        <v>#REF!</v>
      </c>
      <c r="P19" s="213" t="e">
        <v>#REF!</v>
      </c>
      <c r="Q19" s="205"/>
      <c r="R19" s="197"/>
      <c r="S19" s="197"/>
      <c r="T19" s="206">
        <f>VLOOKUP(Table2[[#This Row],[Course Title]],Data!$A$1:$E$56,4,FALSE)</f>
        <v>25</v>
      </c>
      <c r="U19" s="206">
        <f>VLOOKUP(Table2[[#This Row],[Course Title]],Data!$A$1:$E$56,5,FALSE)</f>
        <v>5</v>
      </c>
      <c r="V19" s="206">
        <v>22</v>
      </c>
      <c r="W19" s="207">
        <v>0</v>
      </c>
      <c r="X19" s="206">
        <v>9</v>
      </c>
      <c r="Y19" s="206">
        <v>0</v>
      </c>
      <c r="Z19" s="206">
        <v>0</v>
      </c>
      <c r="AA19" s="208">
        <f ca="1">Table2[[#This Row],[End Date]]+2-TODAY()</f>
        <v>-178</v>
      </c>
      <c r="AB19" s="206">
        <f>IF(ISBLANK(#REF!),1,0)</f>
        <v>0</v>
      </c>
      <c r="AC19" s="206">
        <f ca="1">IF(Table2[[#This Row],[Start Date]]&gt;TODAY(),1,)</f>
        <v>0</v>
      </c>
    </row>
    <row r="20" spans="1:29" s="211" customFormat="1">
      <c r="A20" s="197"/>
      <c r="B20" s="198" t="s">
        <v>276</v>
      </c>
      <c r="C20" s="199" t="str">
        <f>VLOOKUP(Table2[[#This Row],[Course Title]],Data!$A$1:$E$56,2,FALSE)</f>
        <v>A-493-0550</v>
      </c>
      <c r="D20" s="199" t="str">
        <f>VLOOKUP(Table2[[#This Row],[Course Title]],Data!$A$1:$E$56,3,FALSE)</f>
        <v>09K5</v>
      </c>
      <c r="E20" s="198" t="s">
        <v>116</v>
      </c>
      <c r="F20" s="201">
        <v>45215</v>
      </c>
      <c r="G20" s="201">
        <v>45219</v>
      </c>
      <c r="H20" s="201"/>
      <c r="I20" s="202">
        <v>0.41666666666666669</v>
      </c>
      <c r="J20" s="203">
        <v>0.29166666666666669</v>
      </c>
      <c r="K20" s="203">
        <v>0.70833333333333337</v>
      </c>
      <c r="L20" s="203">
        <v>0.66666666666666663</v>
      </c>
      <c r="M20" s="203">
        <v>0.16666666666666666</v>
      </c>
      <c r="N20" s="203">
        <v>0.95833333333333337</v>
      </c>
      <c r="O20" s="204" t="e">
        <v>#REF!</v>
      </c>
      <c r="P20" s="204" t="e">
        <v>#REF!</v>
      </c>
      <c r="Q20" s="205"/>
      <c r="R20" s="197"/>
      <c r="S20" s="197"/>
      <c r="T20" s="206">
        <f>VLOOKUP(Table2[[#This Row],[Course Title]],Data!$A$1:$E$56,4,FALSE)</f>
        <v>45</v>
      </c>
      <c r="U20" s="206">
        <f>VLOOKUP(Table2[[#This Row],[Course Title]],Data!$A$1:$E$56,5,FALSE)</f>
        <v>4</v>
      </c>
      <c r="V20" s="206">
        <v>40</v>
      </c>
      <c r="W20" s="207">
        <v>2</v>
      </c>
      <c r="X20" s="206">
        <v>5</v>
      </c>
      <c r="Y20" s="206">
        <v>0</v>
      </c>
      <c r="Z20" s="206">
        <v>0</v>
      </c>
      <c r="AA20" s="208">
        <f ca="1">Table2[[#This Row],[End Date]]+2-TODAY()</f>
        <v>-178</v>
      </c>
      <c r="AB20" s="206">
        <f>IF(ISBLANK(#REF!),1,0)</f>
        <v>0</v>
      </c>
      <c r="AC20" s="206">
        <f ca="1">IF(Table2[[#This Row],[Start Date]]&gt;TODAY(),1,)</f>
        <v>0</v>
      </c>
    </row>
    <row r="21" spans="1:29" s="196" customFormat="1" ht="14.25" customHeight="1">
      <c r="A21" s="197"/>
      <c r="B21" s="198" t="s">
        <v>287</v>
      </c>
      <c r="C21" s="199" t="str">
        <f>VLOOKUP(Table2[[#This Row],[Course Title]],Data!$A$1:$E$56,2,FALSE)</f>
        <v>A-493-0078</v>
      </c>
      <c r="D21" s="199">
        <f>VLOOKUP(Table2[[#This Row],[Course Title]],Data!$A$1:$E$56,3,FALSE)</f>
        <v>1228</v>
      </c>
      <c r="E21" s="198" t="s">
        <v>116</v>
      </c>
      <c r="F21" s="201">
        <v>45215</v>
      </c>
      <c r="G21" s="201">
        <v>45219</v>
      </c>
      <c r="H21" s="201"/>
      <c r="I21" s="202">
        <v>0.25</v>
      </c>
      <c r="J21" s="203">
        <v>0.125</v>
      </c>
      <c r="K21" s="203">
        <v>0.54166666666666663</v>
      </c>
      <c r="L21" s="203">
        <v>0.5</v>
      </c>
      <c r="M21" s="203">
        <v>0</v>
      </c>
      <c r="N21" s="203">
        <v>0.79166666666666663</v>
      </c>
      <c r="O21" s="204" t="e">
        <v>#REF!</v>
      </c>
      <c r="P21" s="204" t="e">
        <v>#REF!</v>
      </c>
      <c r="Q21" s="205"/>
      <c r="R21" s="197"/>
      <c r="S21" s="197"/>
      <c r="T21" s="206">
        <f>VLOOKUP(Table2[[#This Row],[Course Title]],Data!$A$1:$E$56,4,FALSE)</f>
        <v>45</v>
      </c>
      <c r="U21" s="206">
        <f>VLOOKUP(Table2[[#This Row],[Course Title]],Data!$A$1:$E$56,5,FALSE)</f>
        <v>5</v>
      </c>
      <c r="V21" s="206">
        <v>42</v>
      </c>
      <c r="W21" s="207">
        <v>0</v>
      </c>
      <c r="X21" s="206">
        <v>4</v>
      </c>
      <c r="Y21" s="206">
        <v>0</v>
      </c>
      <c r="Z21" s="206">
        <v>0</v>
      </c>
      <c r="AA21" s="208">
        <f ca="1">Table2[[#This Row],[End Date]]+2-TODAY()</f>
        <v>-178</v>
      </c>
      <c r="AB21" s="206">
        <f>IF(ISBLANK(#REF!),1,0)</f>
        <v>0</v>
      </c>
      <c r="AC21" s="206">
        <f ca="1">IF(Table2[[#This Row],[Start Date]]&gt;TODAY(),1,)</f>
        <v>0</v>
      </c>
    </row>
    <row r="22" spans="1:29" s="196" customFormat="1" ht="14.25" customHeight="1">
      <c r="A22" s="197"/>
      <c r="B22" s="198" t="s">
        <v>299</v>
      </c>
      <c r="C22" s="199" t="str">
        <f>VLOOKUP(Table2[[#This Row],[Course Title]],Data!$A$1:$E$56,2,FALSE)</f>
        <v>A-570-0100</v>
      </c>
      <c r="D22" s="199" t="str">
        <f>VLOOKUP(Table2[[#This Row],[Course Title]],Data!$A$1:$E$56,3,FALSE)</f>
        <v>18B7</v>
      </c>
      <c r="E22" s="198" t="s">
        <v>116</v>
      </c>
      <c r="F22" s="201">
        <v>45215</v>
      </c>
      <c r="G22" s="201">
        <v>45218</v>
      </c>
      <c r="H22" s="201"/>
      <c r="I22" s="202">
        <v>0.54166666666666663</v>
      </c>
      <c r="J22" s="203">
        <v>0.41666666666666669</v>
      </c>
      <c r="K22" s="203">
        <v>0.83333333333333337</v>
      </c>
      <c r="L22" s="203">
        <v>0.79166666666666663</v>
      </c>
      <c r="M22" s="203">
        <v>0.29166666666666669</v>
      </c>
      <c r="N22" s="203">
        <v>8.3333333333333329E-2</v>
      </c>
      <c r="O22" s="207" t="e">
        <v>#REF!</v>
      </c>
      <c r="P22" s="204" t="e">
        <v>#REF!</v>
      </c>
      <c r="Q22" s="207"/>
      <c r="R22" s="197"/>
      <c r="S22" s="197"/>
      <c r="T22" s="206">
        <f>VLOOKUP(Table2[[#This Row],[Course Title]],Data!$A$1:$E$56,4,FALSE)</f>
        <v>30</v>
      </c>
      <c r="U22" s="206">
        <f>VLOOKUP(Table2[[#This Row],[Course Title]],Data!$A$1:$E$56,5,FALSE)</f>
        <v>4</v>
      </c>
      <c r="V22" s="206">
        <v>25</v>
      </c>
      <c r="W22" s="207">
        <v>1</v>
      </c>
      <c r="X22" s="206">
        <v>4</v>
      </c>
      <c r="Y22" s="206">
        <v>2</v>
      </c>
      <c r="Z22" s="206">
        <v>0</v>
      </c>
      <c r="AA22" s="208">
        <f ca="1">Table2[[#This Row],[End Date]]+2-TODAY()</f>
        <v>-179</v>
      </c>
      <c r="AB22" s="206">
        <f>IF(ISBLANK(#REF!),1,0)</f>
        <v>0</v>
      </c>
      <c r="AC22" s="206">
        <f ca="1">IF(Table2[[#This Row],[Start Date]]&gt;TODAY(),1,)</f>
        <v>0</v>
      </c>
    </row>
    <row r="23" spans="1:29" s="196" customFormat="1" ht="14.25" customHeight="1">
      <c r="A23" s="197"/>
      <c r="B23" s="198" t="s">
        <v>19</v>
      </c>
      <c r="C23" s="199" t="str">
        <f>VLOOKUP(Table2[[#This Row],[Course Title]],Data!$A$1:$E$56,2,FALSE)</f>
        <v>A-493-0099</v>
      </c>
      <c r="D23" s="199" t="str">
        <f>VLOOKUP(Table2[[#This Row],[Course Title]],Data!$A$1:$E$56,3,FALSE)</f>
        <v>12JW</v>
      </c>
      <c r="E23" s="198" t="s">
        <v>116</v>
      </c>
      <c r="F23" s="201">
        <v>45216</v>
      </c>
      <c r="G23" s="201">
        <v>45218</v>
      </c>
      <c r="H23" s="201"/>
      <c r="I23" s="202">
        <v>0.41666666666666669</v>
      </c>
      <c r="J23" s="203">
        <v>0.29166666666666669</v>
      </c>
      <c r="K23" s="203">
        <v>0.70833333333333337</v>
      </c>
      <c r="L23" s="203">
        <v>0.66666666666666663</v>
      </c>
      <c r="M23" s="203">
        <v>0.16666666666666666</v>
      </c>
      <c r="N23" s="203">
        <v>0.95833333333333337</v>
      </c>
      <c r="O23" s="204" t="e">
        <v>#REF!</v>
      </c>
      <c r="P23" s="204" t="e">
        <v>#REF!</v>
      </c>
      <c r="Q23" s="205"/>
      <c r="R23" s="197"/>
      <c r="S23" s="197"/>
      <c r="T23" s="206">
        <f>VLOOKUP(Table2[[#This Row],[Course Title]],Data!$A$1:$E$56,4,FALSE)</f>
        <v>45</v>
      </c>
      <c r="U23" s="206">
        <f>VLOOKUP(Table2[[#This Row],[Course Title]],Data!$A$1:$E$56,5,FALSE)</f>
        <v>3</v>
      </c>
      <c r="V23" s="206">
        <v>32</v>
      </c>
      <c r="W23" s="207">
        <v>0</v>
      </c>
      <c r="X23" s="206">
        <v>10</v>
      </c>
      <c r="Y23" s="206">
        <v>0</v>
      </c>
      <c r="Z23" s="206">
        <v>0</v>
      </c>
      <c r="AA23" s="208">
        <f ca="1">Table2[[#This Row],[End Date]]+2-TODAY()</f>
        <v>-179</v>
      </c>
      <c r="AB23" s="206">
        <f>IF(ISBLANK(#REF!),1,0)</f>
        <v>0</v>
      </c>
      <c r="AC23" s="206">
        <f ca="1">IF(Table2[[#This Row],[Start Date]]&gt;TODAY(),1,)</f>
        <v>0</v>
      </c>
    </row>
    <row r="24" spans="1:29" s="212" customFormat="1" ht="14.25" customHeight="1">
      <c r="A24" s="197"/>
      <c r="B24" s="198" t="s">
        <v>6</v>
      </c>
      <c r="C24" s="199" t="str">
        <f>VLOOKUP(Table2[[#This Row],[Course Title]],Data!$A$1:$E$56,2,FALSE)</f>
        <v>A-493-0014</v>
      </c>
      <c r="D24" s="199">
        <f>VLOOKUP(Table2[[#This Row],[Course Title]],Data!$A$1:$E$56,3,FALSE)</f>
        <v>3878</v>
      </c>
      <c r="E24" s="209" t="s">
        <v>140</v>
      </c>
      <c r="F24" s="201">
        <v>45222</v>
      </c>
      <c r="G24" s="201">
        <v>45224</v>
      </c>
      <c r="H24" s="210">
        <v>0.33333333333333331</v>
      </c>
      <c r="I24" s="210"/>
      <c r="J24" s="201"/>
      <c r="K24" s="201"/>
      <c r="L24" s="201"/>
      <c r="M24" s="201"/>
      <c r="N24" s="201"/>
      <c r="O24" s="213" t="e">
        <v>#REF!</v>
      </c>
      <c r="P24" s="213" t="e">
        <v>#REF!</v>
      </c>
      <c r="Q24" s="214"/>
      <c r="R24" s="215"/>
      <c r="S24" s="215"/>
      <c r="T24" s="206">
        <f>VLOOKUP(Table2[[#This Row],[Course Title]],Data!$A$1:$E$56,4,FALSE)</f>
        <v>25</v>
      </c>
      <c r="U24" s="206">
        <f>VLOOKUP(Table2[[#This Row],[Course Title]],Data!$A$1:$E$56,5,FALSE)</f>
        <v>3</v>
      </c>
      <c r="V24" s="206">
        <v>17</v>
      </c>
      <c r="W24" s="207">
        <v>0</v>
      </c>
      <c r="X24" s="206">
        <v>1</v>
      </c>
      <c r="Y24" s="206">
        <v>2</v>
      </c>
      <c r="Z24" s="206">
        <v>0</v>
      </c>
      <c r="AA24" s="208">
        <f ca="1">Table2[[#This Row],[End Date]]+2-TODAY()</f>
        <v>-173</v>
      </c>
      <c r="AB24" s="206">
        <f>IF(ISBLANK(#REF!),1,0)</f>
        <v>0</v>
      </c>
      <c r="AC24" s="206">
        <f ca="1">IF(Table2[[#This Row],[Start Date]]&gt;TODAY(),1,)</f>
        <v>0</v>
      </c>
    </row>
    <row r="25" spans="1:29" s="196" customFormat="1" ht="14.25" customHeight="1">
      <c r="A25" s="197"/>
      <c r="B25" s="216" t="s">
        <v>321</v>
      </c>
      <c r="C25" s="199" t="str">
        <f>VLOOKUP(Table2[[#This Row],[Course Title]],Data!$A$1:$E$56,2,FALSE)</f>
        <v>F-4J-0023</v>
      </c>
      <c r="D25" s="199" t="str">
        <f>VLOOKUP(Table2[[#This Row],[Course Title]],Data!$A$1:$E$56,3,FALSE)</f>
        <v>11A2</v>
      </c>
      <c r="E25" s="198" t="s">
        <v>116</v>
      </c>
      <c r="F25" s="201">
        <v>45222</v>
      </c>
      <c r="G25" s="201">
        <v>45226</v>
      </c>
      <c r="H25" s="201"/>
      <c r="I25" s="202">
        <v>0.33333333333333331</v>
      </c>
      <c r="J25" s="203">
        <v>0.20833333333333334</v>
      </c>
      <c r="K25" s="203">
        <v>0.625</v>
      </c>
      <c r="L25" s="203">
        <v>0.58333333333333337</v>
      </c>
      <c r="M25" s="203">
        <v>8.3333333333333329E-2</v>
      </c>
      <c r="N25" s="203">
        <v>0.875</v>
      </c>
      <c r="O25" s="207" t="e">
        <v>#REF!</v>
      </c>
      <c r="P25" s="204" t="e">
        <v>#REF!</v>
      </c>
      <c r="Q25" s="207"/>
      <c r="R25" s="197"/>
      <c r="S25" s="197"/>
      <c r="T25" s="206">
        <f>VLOOKUP(Table2[[#This Row],[Course Title]],Data!$A$1:$E$56,4,FALSE)</f>
        <v>25</v>
      </c>
      <c r="U25" s="206">
        <f>VLOOKUP(Table2[[#This Row],[Course Title]],Data!$A$1:$E$56,5,FALSE)</f>
        <v>2</v>
      </c>
      <c r="V25" s="206">
        <v>6</v>
      </c>
      <c r="W25" s="207">
        <v>0</v>
      </c>
      <c r="X25" s="206">
        <v>1</v>
      </c>
      <c r="Y25" s="206">
        <v>0</v>
      </c>
      <c r="Z25" s="206">
        <v>0</v>
      </c>
      <c r="AA25" s="208">
        <f ca="1">Table2[[#This Row],[End Date]]+2-TODAY()</f>
        <v>-171</v>
      </c>
      <c r="AB25" s="206">
        <f>IF(ISBLANK(#REF!),1,0)</f>
        <v>0</v>
      </c>
      <c r="AC25" s="206">
        <f ca="1">IF(Table2[[#This Row],[Start Date]]&gt;TODAY(),1,)</f>
        <v>0</v>
      </c>
    </row>
    <row r="26" spans="1:29" s="196" customFormat="1" ht="14.25" customHeight="1">
      <c r="A26" s="197"/>
      <c r="B26" s="198" t="s">
        <v>20</v>
      </c>
      <c r="C26" s="199" t="str">
        <f>VLOOKUP(Table2[[#This Row],[Course Title]],Data!$A$1:$E$56,2,FALSE)</f>
        <v xml:space="preserve">A-493-0075 </v>
      </c>
      <c r="D26" s="199" t="str">
        <f>VLOOKUP(Table2[[#This Row],[Course Title]],Data!$A$1:$E$56,3,FALSE)</f>
        <v>714U</v>
      </c>
      <c r="E26" s="209" t="s">
        <v>141</v>
      </c>
      <c r="F26" s="201">
        <v>45223</v>
      </c>
      <c r="G26" s="201">
        <v>45226</v>
      </c>
      <c r="H26" s="203">
        <v>0.33333333333333331</v>
      </c>
      <c r="I26" s="203"/>
      <c r="J26" s="201"/>
      <c r="K26" s="201"/>
      <c r="L26" s="201"/>
      <c r="M26" s="201"/>
      <c r="N26" s="201"/>
      <c r="O26" s="204" t="e">
        <v>#REF!</v>
      </c>
      <c r="P26" s="204" t="e">
        <v>#REF!</v>
      </c>
      <c r="Q26" s="204"/>
      <c r="R26" s="197"/>
      <c r="S26" s="197"/>
      <c r="T26" s="206">
        <f>VLOOKUP(Table2[[#This Row],[Course Title]],Data!$A$1:$E$56,4,FALSE)</f>
        <v>30</v>
      </c>
      <c r="U26" s="206">
        <f>VLOOKUP(Table2[[#This Row],[Course Title]],Data!$A$1:$E$56,5,FALSE)</f>
        <v>4</v>
      </c>
      <c r="V26" s="206">
        <v>6</v>
      </c>
      <c r="W26" s="207">
        <v>0</v>
      </c>
      <c r="X26" s="206">
        <v>2</v>
      </c>
      <c r="Y26" s="206">
        <v>0</v>
      </c>
      <c r="Z26" s="206">
        <v>0</v>
      </c>
      <c r="AA26" s="208">
        <f ca="1">Table2[[#This Row],[End Date]]+2-TODAY()</f>
        <v>-171</v>
      </c>
      <c r="AB26" s="206">
        <f>IF(ISBLANK(#REF!),1,0)</f>
        <v>0</v>
      </c>
      <c r="AC26" s="206">
        <f ca="1">IF(Table2[[#This Row],[Start Date]]&gt;TODAY(),1,)</f>
        <v>0</v>
      </c>
    </row>
    <row r="27" spans="1:29" s="196" customFormat="1" ht="14.25" customHeight="1">
      <c r="A27" s="197"/>
      <c r="B27" s="198" t="s">
        <v>266</v>
      </c>
      <c r="C27" s="199" t="str">
        <f>VLOOKUP(Table2[[#This Row],[Course Title]],Data!$A$1:$E$56,2,FALSE)</f>
        <v>A-493-0331</v>
      </c>
      <c r="D27" s="199" t="str">
        <f>VLOOKUP(Table2[[#This Row],[Course Title]],Data!$A$1:$E$56,3,FALSE)</f>
        <v>10UG</v>
      </c>
      <c r="E27" s="198" t="s">
        <v>116</v>
      </c>
      <c r="F27" s="201">
        <v>45223</v>
      </c>
      <c r="G27" s="201">
        <v>45225</v>
      </c>
      <c r="H27" s="201"/>
      <c r="I27" s="202">
        <v>0.33333333333333331</v>
      </c>
      <c r="J27" s="203">
        <v>0.20833333333333334</v>
      </c>
      <c r="K27" s="203">
        <v>0.625</v>
      </c>
      <c r="L27" s="203">
        <v>0.58333333333333337</v>
      </c>
      <c r="M27" s="203">
        <v>8.3333333333333329E-2</v>
      </c>
      <c r="N27" s="203">
        <v>0.875</v>
      </c>
      <c r="O27" s="204" t="e">
        <v>#REF!</v>
      </c>
      <c r="P27" s="204" t="e">
        <v>#REF!</v>
      </c>
      <c r="Q27" s="205"/>
      <c r="R27" s="197"/>
      <c r="S27" s="197"/>
      <c r="T27" s="206">
        <f>VLOOKUP(Table2[[#This Row],[Course Title]],Data!$A$1:$E$56,4,FALSE)</f>
        <v>40</v>
      </c>
      <c r="U27" s="206">
        <f>VLOOKUP(Table2[[#This Row],[Course Title]],Data!$A$1:$E$56,5,FALSE)</f>
        <v>3</v>
      </c>
      <c r="V27" s="206">
        <v>35</v>
      </c>
      <c r="W27" s="207">
        <v>2</v>
      </c>
      <c r="X27" s="206">
        <v>7</v>
      </c>
      <c r="Y27" s="206">
        <v>0</v>
      </c>
      <c r="Z27" s="199">
        <v>0</v>
      </c>
      <c r="AA27" s="208">
        <f ca="1">Table2[[#This Row],[End Date]]+2-TODAY()</f>
        <v>-172</v>
      </c>
      <c r="AB27" s="206">
        <f>IF(ISBLANK(#REF!),1,0)</f>
        <v>0</v>
      </c>
      <c r="AC27" s="206">
        <f ca="1">IF(Table2[[#This Row],[Start Date]]&gt;TODAY(),1,)</f>
        <v>0</v>
      </c>
    </row>
    <row r="28" spans="1:29" s="196" customFormat="1" ht="14.25" customHeight="1">
      <c r="A28" s="197"/>
      <c r="B28" s="198" t="s">
        <v>8</v>
      </c>
      <c r="C28" s="199" t="str">
        <f>VLOOKUP(Table2[[#This Row],[Course Title]],Data!$A$1:$E$56,2,FALSE)</f>
        <v>A-493-0019</v>
      </c>
      <c r="D28" s="199">
        <f>VLOOKUP(Table2[[#This Row],[Course Title]],Data!$A$1:$E$56,3,FALSE)</f>
        <v>3882</v>
      </c>
      <c r="E28" s="209" t="s">
        <v>140</v>
      </c>
      <c r="F28" s="201">
        <v>45225</v>
      </c>
      <c r="G28" s="201">
        <v>45226</v>
      </c>
      <c r="H28" s="210">
        <v>0.33333333333333331</v>
      </c>
      <c r="I28" s="210"/>
      <c r="J28" s="201"/>
      <c r="K28" s="201"/>
      <c r="L28" s="201"/>
      <c r="M28" s="201"/>
      <c r="N28" s="201"/>
      <c r="O28" s="204" t="e">
        <v>#REF!</v>
      </c>
      <c r="P28" s="204" t="e">
        <v>#REF!</v>
      </c>
      <c r="Q28" s="205"/>
      <c r="R28" s="197"/>
      <c r="S28" s="197"/>
      <c r="T28" s="206">
        <f>VLOOKUP(Table2[[#This Row],[Course Title]],Data!$A$1:$E$56,4,FALSE)</f>
        <v>25</v>
      </c>
      <c r="U28" s="206">
        <f>VLOOKUP(Table2[[#This Row],[Course Title]],Data!$A$1:$E$56,5,FALSE)</f>
        <v>2</v>
      </c>
      <c r="V28" s="206">
        <v>11</v>
      </c>
      <c r="W28" s="207">
        <v>0</v>
      </c>
      <c r="X28" s="206">
        <v>0</v>
      </c>
      <c r="Y28" s="206">
        <v>2</v>
      </c>
      <c r="Z28" s="206">
        <v>0</v>
      </c>
      <c r="AA28" s="208">
        <f ca="1">Table2[[#This Row],[End Date]]+2-TODAY()</f>
        <v>-171</v>
      </c>
      <c r="AB28" s="206">
        <f>IF(ISBLANK(#REF!),1,0)</f>
        <v>0</v>
      </c>
      <c r="AC28" s="206">
        <f ca="1">IF(Table2[[#This Row],[Start Date]]&gt;TODAY(),1,)</f>
        <v>0</v>
      </c>
    </row>
    <row r="29" spans="1:29" s="196" customFormat="1" ht="14.25" customHeight="1">
      <c r="A29" s="197"/>
      <c r="B29" s="198" t="s">
        <v>242</v>
      </c>
      <c r="C29" s="199" t="str">
        <f>VLOOKUP(Table2[[#This Row],[Course Title]],Data!$A$1:$E$56,2,FALSE)</f>
        <v>A-493-0061</v>
      </c>
      <c r="D29" s="199" t="str">
        <f>VLOOKUP(Table2[[#This Row],[Course Title]],Data!$A$1:$E$56,3,FALSE)</f>
        <v>288E</v>
      </c>
      <c r="E29" s="198" t="s">
        <v>116</v>
      </c>
      <c r="F29" s="201">
        <v>45229</v>
      </c>
      <c r="G29" s="201">
        <v>45233</v>
      </c>
      <c r="H29" s="201"/>
      <c r="I29" s="202">
        <v>0.25</v>
      </c>
      <c r="J29" s="203">
        <v>0.125</v>
      </c>
      <c r="K29" s="203">
        <v>0.54166666666666663</v>
      </c>
      <c r="L29" s="203">
        <v>0.5</v>
      </c>
      <c r="M29" s="203">
        <v>0</v>
      </c>
      <c r="N29" s="203">
        <v>0.79166666666666663</v>
      </c>
      <c r="O29" s="204" t="e">
        <v>#REF!</v>
      </c>
      <c r="P29" s="204" t="e">
        <v>#REF!</v>
      </c>
      <c r="Q29" s="217"/>
      <c r="R29" s="197"/>
      <c r="S29" s="198"/>
      <c r="T29" s="206">
        <f>VLOOKUP(Table2[[#This Row],[Course Title]],Data!$A$1:$E$56,4,FALSE)</f>
        <v>45</v>
      </c>
      <c r="U29" s="206">
        <f>VLOOKUP(Table2[[#This Row],[Course Title]],Data!$A$1:$E$56,5,FALSE)</f>
        <v>5</v>
      </c>
      <c r="V29" s="206">
        <v>37</v>
      </c>
      <c r="W29" s="207">
        <v>1</v>
      </c>
      <c r="X29" s="206">
        <v>6</v>
      </c>
      <c r="Y29" s="206">
        <v>0</v>
      </c>
      <c r="Z29" s="206">
        <v>0</v>
      </c>
      <c r="AA29" s="208">
        <f ca="1">Table2[[#This Row],[End Date]]+2-TODAY()</f>
        <v>-164</v>
      </c>
      <c r="AB29" s="206">
        <f>IF(ISBLANK(#REF!),1,0)</f>
        <v>0</v>
      </c>
      <c r="AC29" s="206">
        <f ca="1">IF(Table2[[#This Row],[Start Date]]&gt;TODAY(),1,)</f>
        <v>0</v>
      </c>
    </row>
    <row r="30" spans="1:29" s="196" customFormat="1" ht="14.25" customHeight="1">
      <c r="A30" s="197"/>
      <c r="B30" s="198" t="s">
        <v>270</v>
      </c>
      <c r="C30" s="199" t="str">
        <f>VLOOKUP(Table2[[#This Row],[Course Title]],Data!$A$1:$E$56,2,FALSE)</f>
        <v>A-493-0335</v>
      </c>
      <c r="D30" s="199" t="str">
        <f>VLOOKUP(Table2[[#This Row],[Course Title]],Data!$A$1:$E$56,3,FALSE)</f>
        <v>09ND</v>
      </c>
      <c r="E30" s="198" t="s">
        <v>116</v>
      </c>
      <c r="F30" s="201">
        <v>45229</v>
      </c>
      <c r="G30" s="201">
        <v>45232</v>
      </c>
      <c r="H30" s="201"/>
      <c r="I30" s="202">
        <v>0.5</v>
      </c>
      <c r="J30" s="203">
        <v>0.375</v>
      </c>
      <c r="K30" s="203">
        <v>0.79166666666666663</v>
      </c>
      <c r="L30" s="203">
        <v>0.75</v>
      </c>
      <c r="M30" s="203">
        <v>0.25</v>
      </c>
      <c r="N30" s="203">
        <v>4.1666666666666664E-2</v>
      </c>
      <c r="O30" s="213" t="e">
        <v>#REF!</v>
      </c>
      <c r="P30" s="213" t="e">
        <v>#REF!</v>
      </c>
      <c r="Q30" s="213"/>
      <c r="R30" s="215"/>
      <c r="S30" s="215"/>
      <c r="T30" s="206">
        <f>VLOOKUP(Table2[[#This Row],[Course Title]],Data!$A$1:$E$56,4,FALSE)</f>
        <v>30</v>
      </c>
      <c r="U30" s="206">
        <f>VLOOKUP(Table2[[#This Row],[Course Title]],Data!$A$1:$E$56,5,FALSE)</f>
        <v>4</v>
      </c>
      <c r="V30" s="206">
        <v>25</v>
      </c>
      <c r="W30" s="207">
        <v>0</v>
      </c>
      <c r="X30" s="206">
        <v>6</v>
      </c>
      <c r="Y30" s="206">
        <v>0</v>
      </c>
      <c r="Z30" s="206">
        <v>0</v>
      </c>
      <c r="AA30" s="208">
        <f ca="1">Table2[[#This Row],[End Date]]+2-TODAY()</f>
        <v>-165</v>
      </c>
      <c r="AB30" s="206">
        <f>IF(ISBLANK(#REF!),1,0)</f>
        <v>0</v>
      </c>
      <c r="AC30" s="206">
        <f ca="1">IF(Table2[[#This Row],[Start Date]]&gt;TODAY(),1,)</f>
        <v>0</v>
      </c>
    </row>
    <row r="31" spans="1:29" s="196" customFormat="1" ht="14.25" customHeight="1">
      <c r="A31" s="197"/>
      <c r="B31" s="198" t="s">
        <v>276</v>
      </c>
      <c r="C31" s="199" t="str">
        <f>VLOOKUP(Table2[[#This Row],[Course Title]],Data!$A$1:$E$56,2,FALSE)</f>
        <v>A-493-0550</v>
      </c>
      <c r="D31" s="199" t="str">
        <f>VLOOKUP(Table2[[#This Row],[Course Title]],Data!$A$1:$E$56,3,FALSE)</f>
        <v>09K5</v>
      </c>
      <c r="E31" s="198" t="s">
        <v>116</v>
      </c>
      <c r="F31" s="201">
        <v>45229</v>
      </c>
      <c r="G31" s="201">
        <v>45233</v>
      </c>
      <c r="H31" s="201"/>
      <c r="I31" s="202">
        <v>0.25</v>
      </c>
      <c r="J31" s="203">
        <v>0.125</v>
      </c>
      <c r="K31" s="203">
        <v>0.54166666666666663</v>
      </c>
      <c r="L31" s="203">
        <v>0.5</v>
      </c>
      <c r="M31" s="203">
        <v>0</v>
      </c>
      <c r="N31" s="203">
        <v>0.79166666666666663</v>
      </c>
      <c r="O31" s="204" t="e">
        <v>#REF!</v>
      </c>
      <c r="P31" s="204" t="e">
        <v>#REF!</v>
      </c>
      <c r="Q31" s="205"/>
      <c r="R31" s="197"/>
      <c r="S31" s="197"/>
      <c r="T31" s="206">
        <f>VLOOKUP(Table2[[#This Row],[Course Title]],Data!$A$1:$E$56,4,FALSE)</f>
        <v>45</v>
      </c>
      <c r="U31" s="206">
        <f>VLOOKUP(Table2[[#This Row],[Course Title]],Data!$A$1:$E$56,5,FALSE)</f>
        <v>4</v>
      </c>
      <c r="V31" s="206">
        <v>31</v>
      </c>
      <c r="W31" s="207">
        <v>0</v>
      </c>
      <c r="X31" s="206">
        <v>14</v>
      </c>
      <c r="Y31" s="206">
        <v>0</v>
      </c>
      <c r="Z31" s="206">
        <v>0</v>
      </c>
      <c r="AA31" s="208">
        <f ca="1">Table2[[#This Row],[End Date]]+2-TODAY()</f>
        <v>-164</v>
      </c>
      <c r="AB31" s="206">
        <f>IF(ISBLANK(#REF!),1,0)</f>
        <v>0</v>
      </c>
      <c r="AC31" s="206">
        <f ca="1">IF(Table2[[#This Row],[Start Date]]&gt;TODAY(),1,)</f>
        <v>0</v>
      </c>
    </row>
    <row r="32" spans="1:29" s="196" customFormat="1" ht="14.25" customHeight="1">
      <c r="A32" s="197"/>
      <c r="B32" s="198" t="s">
        <v>287</v>
      </c>
      <c r="C32" s="199" t="str">
        <f>VLOOKUP(Table2[[#This Row],[Course Title]],Data!$A$1:$E$56,2,FALSE)</f>
        <v>A-493-0078</v>
      </c>
      <c r="D32" s="199">
        <f>VLOOKUP(Table2[[#This Row],[Course Title]],Data!$A$1:$E$56,3,FALSE)</f>
        <v>1228</v>
      </c>
      <c r="E32" s="198" t="s">
        <v>116</v>
      </c>
      <c r="F32" s="201">
        <v>45229</v>
      </c>
      <c r="G32" s="201">
        <v>45233</v>
      </c>
      <c r="H32" s="201"/>
      <c r="I32" s="202">
        <v>0.41666666666666669</v>
      </c>
      <c r="J32" s="203">
        <v>0.29166666666666669</v>
      </c>
      <c r="K32" s="203">
        <v>0.70833333333333337</v>
      </c>
      <c r="L32" s="203">
        <v>0.66666666666666663</v>
      </c>
      <c r="M32" s="203">
        <v>0.16666666666666666</v>
      </c>
      <c r="N32" s="203">
        <v>0.95833333333333337</v>
      </c>
      <c r="O32" s="204" t="e">
        <v>#REF!</v>
      </c>
      <c r="P32" s="204" t="e">
        <v>#REF!</v>
      </c>
      <c r="Q32" s="205"/>
      <c r="R32" s="197"/>
      <c r="S32" s="197"/>
      <c r="T32" s="206">
        <f>VLOOKUP(Table2[[#This Row],[Course Title]],Data!$A$1:$E$56,4,FALSE)</f>
        <v>45</v>
      </c>
      <c r="U32" s="206">
        <f>VLOOKUP(Table2[[#This Row],[Course Title]],Data!$A$1:$E$56,5,FALSE)</f>
        <v>5</v>
      </c>
      <c r="V32" s="206">
        <v>39</v>
      </c>
      <c r="W32" s="207">
        <v>1</v>
      </c>
      <c r="X32" s="206">
        <v>5</v>
      </c>
      <c r="Y32" s="206">
        <v>0</v>
      </c>
      <c r="Z32" s="206">
        <v>0</v>
      </c>
      <c r="AA32" s="208">
        <f ca="1">Table2[[#This Row],[End Date]]+2-TODAY()</f>
        <v>-164</v>
      </c>
      <c r="AB32" s="206">
        <f>IF(ISBLANK(#REF!),1,0)</f>
        <v>0</v>
      </c>
      <c r="AC32" s="206">
        <f ca="1">IF(Table2[[#This Row],[Start Date]]&gt;TODAY(),1,)</f>
        <v>0</v>
      </c>
    </row>
    <row r="33" spans="1:29" s="196" customFormat="1" ht="16.5" customHeight="1">
      <c r="A33" s="197"/>
      <c r="B33" s="198" t="s">
        <v>38</v>
      </c>
      <c r="C33" s="199" t="str">
        <f>VLOOKUP(Table2[[#This Row],[Course Title]],Data!$A$1:$E$56,2,FALSE)</f>
        <v>A-493-0072</v>
      </c>
      <c r="D33" s="199" t="str">
        <f>VLOOKUP(Table2[[#This Row],[Course Title]],Data!$A$1:$E$56,3,FALSE)</f>
        <v>713U</v>
      </c>
      <c r="E33" s="209" t="s">
        <v>140</v>
      </c>
      <c r="F33" s="201">
        <v>45229</v>
      </c>
      <c r="G33" s="201">
        <v>45232</v>
      </c>
      <c r="H33" s="210">
        <v>0.33333333333333331</v>
      </c>
      <c r="I33" s="210"/>
      <c r="J33" s="201"/>
      <c r="K33" s="201"/>
      <c r="L33" s="201"/>
      <c r="M33" s="201"/>
      <c r="N33" s="201"/>
      <c r="O33" s="204" t="e">
        <v>#REF!</v>
      </c>
      <c r="P33" s="204" t="e">
        <v>#REF!</v>
      </c>
      <c r="Q33" s="204"/>
      <c r="R33" s="197"/>
      <c r="S33" s="197"/>
      <c r="T33" s="206">
        <f>VLOOKUP(Table2[[#This Row],[Course Title]],Data!$A$1:$E$56,4,FALSE)</f>
        <v>30</v>
      </c>
      <c r="U33" s="206">
        <f>VLOOKUP(Table2[[#This Row],[Course Title]],Data!$A$1:$E$56,5,FALSE)</f>
        <v>4</v>
      </c>
      <c r="V33" s="206">
        <v>26</v>
      </c>
      <c r="W33" s="207">
        <v>0</v>
      </c>
      <c r="X33" s="206">
        <v>4</v>
      </c>
      <c r="Y33" s="206">
        <v>3</v>
      </c>
      <c r="Z33" s="207">
        <v>0</v>
      </c>
      <c r="AA33" s="208">
        <f ca="1">Table2[[#This Row],[End Date]]+2-TODAY()</f>
        <v>-165</v>
      </c>
      <c r="AB33" s="206">
        <f>IF(ISBLANK(#REF!),1,0)</f>
        <v>0</v>
      </c>
      <c r="AC33" s="206">
        <f ca="1">IF(Table2[[#This Row],[Start Date]]&gt;TODAY(),1,)</f>
        <v>0</v>
      </c>
    </row>
    <row r="34" spans="1:29" s="196" customFormat="1" ht="16.5" customHeight="1">
      <c r="A34" s="197"/>
      <c r="B34" s="198" t="s">
        <v>19</v>
      </c>
      <c r="C34" s="199" t="str">
        <f>VLOOKUP(Table2[[#This Row],[Course Title]],Data!$A$1:$E$56,2,FALSE)</f>
        <v>A-493-0099</v>
      </c>
      <c r="D34" s="199" t="str">
        <f>VLOOKUP(Table2[[#This Row],[Course Title]],Data!$A$1:$E$56,3,FALSE)</f>
        <v>12JW</v>
      </c>
      <c r="E34" s="198" t="s">
        <v>116</v>
      </c>
      <c r="F34" s="201">
        <v>45230</v>
      </c>
      <c r="G34" s="201">
        <v>45232</v>
      </c>
      <c r="H34" s="201"/>
      <c r="I34" s="202">
        <v>0.54166666666666663</v>
      </c>
      <c r="J34" s="203">
        <v>0.41666666666666669</v>
      </c>
      <c r="K34" s="203">
        <v>0.83333333333333337</v>
      </c>
      <c r="L34" s="203">
        <v>0.79166666666666663</v>
      </c>
      <c r="M34" s="203">
        <v>0.29166666666666669</v>
      </c>
      <c r="N34" s="203">
        <v>8.3333333333333329E-2</v>
      </c>
      <c r="O34" s="204" t="e">
        <v>#REF!</v>
      </c>
      <c r="P34" s="204" t="e">
        <v>#REF!</v>
      </c>
      <c r="Q34" s="205"/>
      <c r="R34" s="197"/>
      <c r="S34" s="197"/>
      <c r="T34" s="206">
        <f>VLOOKUP(Table2[[#This Row],[Course Title]],Data!$A$1:$E$56,4,FALSE)</f>
        <v>45</v>
      </c>
      <c r="U34" s="206">
        <f>VLOOKUP(Table2[[#This Row],[Course Title]],Data!$A$1:$E$56,5,FALSE)</f>
        <v>3</v>
      </c>
      <c r="V34" s="206">
        <v>32</v>
      </c>
      <c r="W34" s="207">
        <v>0</v>
      </c>
      <c r="X34" s="206">
        <v>13</v>
      </c>
      <c r="Y34" s="206">
        <v>0</v>
      </c>
      <c r="Z34" s="207">
        <v>0</v>
      </c>
      <c r="AA34" s="208">
        <f ca="1">Table2[[#This Row],[End Date]]+2-TODAY()</f>
        <v>-165</v>
      </c>
      <c r="AB34" s="206">
        <f>IF(ISBLANK(#REF!),1,0)</f>
        <v>0</v>
      </c>
      <c r="AC34" s="206">
        <f ca="1">IF(Table2[[#This Row],[Start Date]]&gt;TODAY(),1,)</f>
        <v>0</v>
      </c>
    </row>
    <row r="35" spans="1:29" s="196" customFormat="1" ht="14.25" customHeight="1">
      <c r="A35" s="197"/>
      <c r="B35" s="198" t="s">
        <v>184</v>
      </c>
      <c r="C35" s="199" t="str">
        <f>VLOOKUP(Table2[[#This Row],[Course Title]],Data!$A$1:$E$56,2,FALSE)</f>
        <v>A-4J-0022</v>
      </c>
      <c r="D35" s="199" t="str">
        <f>VLOOKUP(Table2[[#This Row],[Course Title]],Data!$A$1:$E$56,3,FALSE)</f>
        <v>09ER</v>
      </c>
      <c r="E35" s="198" t="s">
        <v>116</v>
      </c>
      <c r="F35" s="200">
        <v>45236</v>
      </c>
      <c r="G35" s="201">
        <v>45240</v>
      </c>
      <c r="H35" s="201"/>
      <c r="I35" s="202">
        <v>0.33333333333333331</v>
      </c>
      <c r="J35" s="202">
        <v>0.20833333333333334</v>
      </c>
      <c r="K35" s="202">
        <v>0.66666666666666663</v>
      </c>
      <c r="L35" s="202">
        <v>0.58333333333333337</v>
      </c>
      <c r="M35" s="202">
        <v>0.125</v>
      </c>
      <c r="N35" s="202">
        <v>0.91666666666666663</v>
      </c>
      <c r="O35" s="207" t="e">
        <v>#REF!</v>
      </c>
      <c r="P35" s="204" t="e">
        <v>#REF!</v>
      </c>
      <c r="Q35" s="207"/>
      <c r="R35" s="197"/>
      <c r="S35" s="197"/>
      <c r="T35" s="206">
        <f>VLOOKUP(Table2[[#This Row],[Course Title]],Data!$A$1:$E$56,4,FALSE)</f>
        <v>45</v>
      </c>
      <c r="U35" s="206">
        <f>VLOOKUP(Table2[[#This Row],[Course Title]],Data!$A$1:$E$56,5,FALSE)</f>
        <v>5</v>
      </c>
      <c r="V35" s="206">
        <v>24</v>
      </c>
      <c r="W35" s="207">
        <v>1</v>
      </c>
      <c r="X35" s="206">
        <v>5</v>
      </c>
      <c r="Y35" s="206">
        <v>0</v>
      </c>
      <c r="Z35" s="206">
        <v>0</v>
      </c>
      <c r="AA35" s="208">
        <f ca="1">Table2[[#This Row],[End Date]]+2-TODAY()</f>
        <v>-157</v>
      </c>
      <c r="AB35" s="206">
        <f>IF(ISBLANK(#REF!),1,0)</f>
        <v>0</v>
      </c>
      <c r="AC35" s="206">
        <f ca="1">IF(Table2[[#This Row],[Start Date]]&gt;TODAY(),1,)</f>
        <v>0</v>
      </c>
    </row>
    <row r="36" spans="1:29" s="196" customFormat="1" ht="14.25" customHeight="1">
      <c r="A36" s="209" t="s">
        <v>464</v>
      </c>
      <c r="B36" s="198" t="s">
        <v>331</v>
      </c>
      <c r="C36" s="199" t="str">
        <f>VLOOKUP(Table2[[#This Row],[Course Title]],Data!$A$1:$E$56,2,FALSE)</f>
        <v>NA</v>
      </c>
      <c r="D36" s="199" t="str">
        <f>VLOOKUP(Table2[[#This Row],[Course Title]],Data!$A$1:$E$56,3,FALSE)</f>
        <v>NA</v>
      </c>
      <c r="E36" s="198" t="s">
        <v>140</v>
      </c>
      <c r="F36" s="201">
        <v>45236</v>
      </c>
      <c r="G36" s="201">
        <v>45247</v>
      </c>
      <c r="H36" s="203">
        <v>0</v>
      </c>
      <c r="I36" s="203">
        <v>0</v>
      </c>
      <c r="J36" s="203">
        <v>0</v>
      </c>
      <c r="K36" s="203">
        <v>0</v>
      </c>
      <c r="L36" s="203">
        <v>0</v>
      </c>
      <c r="M36" s="203">
        <v>0</v>
      </c>
      <c r="N36" s="203">
        <v>0</v>
      </c>
      <c r="O36" s="207"/>
      <c r="P36" s="204"/>
      <c r="Q36" s="207"/>
      <c r="R36" s="197"/>
      <c r="S36" s="197"/>
      <c r="T36" s="207">
        <v>0</v>
      </c>
      <c r="U36" s="204">
        <v>0</v>
      </c>
      <c r="V36" s="207">
        <v>0</v>
      </c>
      <c r="W36" s="207">
        <v>0</v>
      </c>
      <c r="X36" s="206">
        <v>0</v>
      </c>
      <c r="Y36" s="206">
        <v>0</v>
      </c>
      <c r="Z36" s="199">
        <v>0</v>
      </c>
      <c r="AA36" s="208">
        <f ca="1">Table2[[#This Row],[End Date]]+2-TODAY()</f>
        <v>-150</v>
      </c>
      <c r="AB36" s="206">
        <f>IF(ISBLANK(#REF!),1,0)</f>
        <v>0</v>
      </c>
      <c r="AC36" s="206">
        <f ca="1">IF(Table2[[#This Row],[Start Date]]&gt;TODAY(),1,)</f>
        <v>0</v>
      </c>
    </row>
    <row r="37" spans="1:29" s="196" customFormat="1" ht="14.25" customHeight="1">
      <c r="A37" s="198"/>
      <c r="B37" s="198" t="s">
        <v>266</v>
      </c>
      <c r="C37" s="199" t="str">
        <f>VLOOKUP(Table2[[#This Row],[Course Title]],Data!$A$1:$E$56,2,FALSE)</f>
        <v>A-493-0331</v>
      </c>
      <c r="D37" s="199" t="str">
        <f>VLOOKUP(Table2[[#This Row],[Course Title]],Data!$A$1:$E$56,3,FALSE)</f>
        <v>10UG</v>
      </c>
      <c r="E37" s="198" t="s">
        <v>116</v>
      </c>
      <c r="F37" s="201">
        <v>45237</v>
      </c>
      <c r="G37" s="201">
        <v>45239</v>
      </c>
      <c r="H37" s="203"/>
      <c r="I37" s="202">
        <v>0.33333333333333331</v>
      </c>
      <c r="J37" s="203">
        <v>0.20833333333333334</v>
      </c>
      <c r="K37" s="203">
        <v>0.625</v>
      </c>
      <c r="L37" s="203">
        <v>0.58333333333333337</v>
      </c>
      <c r="M37" s="203">
        <v>8.3333333333333329E-2</v>
      </c>
      <c r="N37" s="203">
        <v>0.875</v>
      </c>
      <c r="O37" s="207"/>
      <c r="P37" s="204"/>
      <c r="Q37" s="207"/>
      <c r="R37" s="197"/>
      <c r="S37" s="197"/>
      <c r="T37" s="207">
        <f>VLOOKUP(Table2[[#This Row],[Course Title]],Data!$A$1:$E$56,4,FALSE)</f>
        <v>40</v>
      </c>
      <c r="U37" s="204">
        <f>VLOOKUP(Table2[[#This Row],[Course Title]],Data!$A$1:$E$56,5,FALSE)</f>
        <v>3</v>
      </c>
      <c r="V37" s="207">
        <v>39</v>
      </c>
      <c r="W37" s="207">
        <v>0</v>
      </c>
      <c r="X37" s="206">
        <v>4</v>
      </c>
      <c r="Y37" s="206">
        <v>3</v>
      </c>
      <c r="Z37" s="207">
        <v>0</v>
      </c>
      <c r="AA37" s="208">
        <f ca="1">Table2[[#This Row],[End Date]]+2-TODAY()</f>
        <v>-158</v>
      </c>
      <c r="AB37" s="206">
        <f>IF(ISBLANK(#REF!),1,0)</f>
        <v>0</v>
      </c>
      <c r="AC37" s="206">
        <f ca="1">IF(Table2[[#This Row],[Start Date]]&gt;TODAY(),1,)</f>
        <v>0</v>
      </c>
    </row>
    <row r="38" spans="1:29" s="196" customFormat="1" ht="14.25" customHeight="1">
      <c r="A38" s="197" t="s">
        <v>465</v>
      </c>
      <c r="B38" s="198" t="s">
        <v>330</v>
      </c>
      <c r="C38" s="199" t="str">
        <f>VLOOKUP(Table2[[#This Row],[Course Title]],Data!$A$1:$E$56,2,FALSE)</f>
        <v>Holiday</v>
      </c>
      <c r="D38" s="199" t="str">
        <f>VLOOKUP(Table2[[#This Row],[Course Title]],Data!$A$1:$E$56,3,FALSE)</f>
        <v>Holiday</v>
      </c>
      <c r="E38" s="198"/>
      <c r="F38" s="201">
        <v>45240</v>
      </c>
      <c r="G38" s="201">
        <v>45240</v>
      </c>
      <c r="H38" s="203">
        <v>0</v>
      </c>
      <c r="I38" s="202">
        <v>0.33333333333333331</v>
      </c>
      <c r="J38" s="203">
        <v>0.20833333333333334</v>
      </c>
      <c r="K38" s="203">
        <v>0.625</v>
      </c>
      <c r="L38" s="203">
        <v>0.58333333333333337</v>
      </c>
      <c r="M38" s="203">
        <v>8.3333333333333329E-2</v>
      </c>
      <c r="N38" s="203">
        <v>0.875</v>
      </c>
      <c r="O38" s="204" t="e">
        <v>#REF!</v>
      </c>
      <c r="P38" s="204" t="e">
        <v>#REF!</v>
      </c>
      <c r="Q38" s="205">
        <v>0</v>
      </c>
      <c r="R38" s="197">
        <v>0</v>
      </c>
      <c r="S38" s="197">
        <v>0</v>
      </c>
      <c r="T38" s="206">
        <f>VLOOKUP(Table2[[#This Row],[Course Title]],Data!$A$1:$E$56,4,FALSE)</f>
        <v>0</v>
      </c>
      <c r="U38" s="206">
        <f>VLOOKUP(Table2[[#This Row],[Course Title]],Data!$A$1:$E$56,5,FALSE)</f>
        <v>0</v>
      </c>
      <c r="V38" s="206">
        <v>0</v>
      </c>
      <c r="W38" s="207">
        <v>0</v>
      </c>
      <c r="X38" s="206">
        <v>0</v>
      </c>
      <c r="Y38" s="206">
        <v>0</v>
      </c>
      <c r="Z38" s="206">
        <v>0</v>
      </c>
      <c r="AA38" s="208">
        <f ca="1">Table2[[#This Row],[End Date]]+2-TODAY()</f>
        <v>-157</v>
      </c>
      <c r="AB38" s="206">
        <f>IF(ISBLANK(#REF!),1,0)</f>
        <v>0</v>
      </c>
      <c r="AC38" s="206">
        <f ca="1">IF(Table2[[#This Row],[Start Date]]&gt;TODAY(),1,)</f>
        <v>0</v>
      </c>
    </row>
    <row r="39" spans="1:29" s="219" customFormat="1" ht="14.25" customHeight="1">
      <c r="A39" s="197"/>
      <c r="B39" s="198" t="s">
        <v>236</v>
      </c>
      <c r="C39" s="199" t="str">
        <f>VLOOKUP(Table2[[#This Row],[Course Title]],Data!$A$1:$E$56,2,FALSE)</f>
        <v>A-493-0103</v>
      </c>
      <c r="D39" s="199" t="str">
        <f>VLOOKUP(Table2[[#This Row],[Course Title]],Data!$A$1:$E$56,3,FALSE)</f>
        <v>12JY</v>
      </c>
      <c r="E39" s="198" t="s">
        <v>109</v>
      </c>
      <c r="F39" s="201">
        <v>45243</v>
      </c>
      <c r="G39" s="201">
        <v>45247</v>
      </c>
      <c r="H39" s="203">
        <v>0.33333333333333331</v>
      </c>
      <c r="I39" s="203"/>
      <c r="J39" s="201"/>
      <c r="K39" s="201"/>
      <c r="L39" s="201"/>
      <c r="M39" s="201"/>
      <c r="N39" s="201"/>
      <c r="O39" s="218" t="e">
        <v>#REF!</v>
      </c>
      <c r="P39" s="218" t="e">
        <v>#REF!</v>
      </c>
      <c r="Q39" s="214"/>
      <c r="R39" s="215"/>
      <c r="S39" s="215"/>
      <c r="T39" s="206">
        <f>VLOOKUP(Table2[[#This Row],[Course Title]],Data!$A$1:$E$56,4,FALSE)</f>
        <v>25</v>
      </c>
      <c r="U39" s="206">
        <f>VLOOKUP(Table2[[#This Row],[Course Title]],Data!$A$1:$E$56,5,FALSE)</f>
        <v>5</v>
      </c>
      <c r="V39" s="206">
        <v>13</v>
      </c>
      <c r="W39" s="207">
        <v>0</v>
      </c>
      <c r="X39" s="206">
        <v>12</v>
      </c>
      <c r="Y39" s="206">
        <v>1</v>
      </c>
      <c r="Z39" s="206">
        <v>0</v>
      </c>
      <c r="AA39" s="208">
        <f ca="1">Table2[[#This Row],[End Date]]+2-TODAY()</f>
        <v>-150</v>
      </c>
      <c r="AB39" s="206">
        <f>IF(ISBLANK(#REF!),1,0)</f>
        <v>0</v>
      </c>
      <c r="AC39" s="206">
        <f ca="1">IF(Table2[[#This Row],[Start Date]]&gt;TODAY(),1,)</f>
        <v>0</v>
      </c>
    </row>
    <row r="40" spans="1:29" s="196" customFormat="1" ht="16.5" customHeight="1">
      <c r="A40" s="199"/>
      <c r="B40" s="198" t="s">
        <v>242</v>
      </c>
      <c r="C40" s="199" t="str">
        <f>VLOOKUP(Table2[[#This Row],[Course Title]],Data!$A$1:$E$56,2,FALSE)</f>
        <v>A-493-0061</v>
      </c>
      <c r="D40" s="199" t="str">
        <f>VLOOKUP(Table2[[#This Row],[Course Title]],Data!$A$1:$E$56,3,FALSE)</f>
        <v>288E</v>
      </c>
      <c r="E40" s="198" t="s">
        <v>116</v>
      </c>
      <c r="F40" s="200">
        <v>45243</v>
      </c>
      <c r="G40" s="200">
        <v>45247</v>
      </c>
      <c r="H40" s="200"/>
      <c r="I40" s="202">
        <v>0.41666666666666669</v>
      </c>
      <c r="J40" s="202">
        <v>0.29166666666666669</v>
      </c>
      <c r="K40" s="202">
        <v>0.75</v>
      </c>
      <c r="L40" s="202">
        <v>0.66666666666666663</v>
      </c>
      <c r="M40" s="202">
        <v>0.20833333333333334</v>
      </c>
      <c r="N40" s="202">
        <v>0</v>
      </c>
      <c r="O40" s="220" t="e">
        <v>#REF!</v>
      </c>
      <c r="P40" s="213" t="e">
        <v>#REF!</v>
      </c>
      <c r="Q40" s="220"/>
      <c r="R40" s="221"/>
      <c r="S40" s="221"/>
      <c r="T40" s="206">
        <f>VLOOKUP(Table2[[#This Row],[Course Title]],Data!$A$1:$E$56,4,FALSE)</f>
        <v>45</v>
      </c>
      <c r="U40" s="206">
        <f>VLOOKUP(Table2[[#This Row],[Course Title]],Data!$A$1:$E$56,5,FALSE)</f>
        <v>5</v>
      </c>
      <c r="V40" s="222">
        <v>39</v>
      </c>
      <c r="W40" s="207">
        <v>0</v>
      </c>
      <c r="X40" s="206">
        <v>5</v>
      </c>
      <c r="Y40" s="206">
        <v>0</v>
      </c>
      <c r="Z40" s="206">
        <v>0</v>
      </c>
      <c r="AA40" s="208">
        <f ca="1">Table2[[#This Row],[End Date]]+2-TODAY()</f>
        <v>-150</v>
      </c>
      <c r="AB40" s="206">
        <f>IF(ISBLANK(#REF!),1,0)</f>
        <v>0</v>
      </c>
      <c r="AC40" s="206">
        <f ca="1">IF(Table2[[#This Row],[Start Date]]&gt;TODAY(),1,)</f>
        <v>0</v>
      </c>
    </row>
    <row r="41" spans="1:29" s="196" customFormat="1" ht="16.5" customHeight="1">
      <c r="A41" s="197"/>
      <c r="B41" s="198" t="s">
        <v>276</v>
      </c>
      <c r="C41" s="199" t="str">
        <f>VLOOKUP(Table2[[#This Row],[Course Title]],Data!$A$1:$E$56,2,FALSE)</f>
        <v>A-493-0550</v>
      </c>
      <c r="D41" s="199" t="str">
        <f>VLOOKUP(Table2[[#This Row],[Course Title]],Data!$A$1:$E$56,3,FALSE)</f>
        <v>09K5</v>
      </c>
      <c r="E41" s="198" t="s">
        <v>116</v>
      </c>
      <c r="F41" s="200">
        <v>45243</v>
      </c>
      <c r="G41" s="200">
        <v>45247</v>
      </c>
      <c r="H41" s="200"/>
      <c r="I41" s="202">
        <v>0.33333333333333331</v>
      </c>
      <c r="J41" s="202">
        <v>0.20833333333333334</v>
      </c>
      <c r="K41" s="202">
        <v>0.66666666666666663</v>
      </c>
      <c r="L41" s="202">
        <v>0.58333333333333337</v>
      </c>
      <c r="M41" s="202">
        <v>0.125</v>
      </c>
      <c r="N41" s="202">
        <v>0.91666666666666663</v>
      </c>
      <c r="O41" s="204" t="e">
        <v>#REF!</v>
      </c>
      <c r="P41" s="204" t="e">
        <v>#REF!</v>
      </c>
      <c r="Q41" s="205"/>
      <c r="R41" s="197"/>
      <c r="S41" s="197"/>
      <c r="T41" s="206">
        <f>VLOOKUP(Table2[[#This Row],[Course Title]],Data!$A$1:$E$56,4,FALSE)</f>
        <v>45</v>
      </c>
      <c r="U41" s="206">
        <f>VLOOKUP(Table2[[#This Row],[Course Title]],Data!$A$1:$E$56,5,FALSE)</f>
        <v>4</v>
      </c>
      <c r="V41" s="206">
        <v>33</v>
      </c>
      <c r="W41" s="207">
        <v>1</v>
      </c>
      <c r="X41" s="206">
        <v>10</v>
      </c>
      <c r="Y41" s="206">
        <v>2</v>
      </c>
      <c r="Z41" s="206">
        <v>0</v>
      </c>
      <c r="AA41" s="208">
        <f ca="1">Table2[[#This Row],[End Date]]+2-TODAY()</f>
        <v>-150</v>
      </c>
      <c r="AB41" s="206">
        <f>IF(ISBLANK(#REF!),1,0)</f>
        <v>0</v>
      </c>
      <c r="AC41" s="206">
        <f ca="1">IF(Table2[[#This Row],[Start Date]]&gt;TODAY(),1,)</f>
        <v>0</v>
      </c>
    </row>
    <row r="42" spans="1:29" s="196" customFormat="1" ht="14.25" customHeight="1">
      <c r="A42" s="197"/>
      <c r="B42" s="198" t="s">
        <v>287</v>
      </c>
      <c r="C42" s="199" t="str">
        <f>VLOOKUP(Table2[[#This Row],[Course Title]],Data!$A$1:$E$56,2,FALSE)</f>
        <v>A-493-0078</v>
      </c>
      <c r="D42" s="199">
        <f>VLOOKUP(Table2[[#This Row],[Course Title]],Data!$A$1:$E$56,3,FALSE)</f>
        <v>1228</v>
      </c>
      <c r="E42" s="198" t="s">
        <v>116</v>
      </c>
      <c r="F42" s="200">
        <v>45243</v>
      </c>
      <c r="G42" s="200">
        <v>45247</v>
      </c>
      <c r="H42" s="200"/>
      <c r="I42" s="202">
        <v>0.54166666666666663</v>
      </c>
      <c r="J42" s="202">
        <v>0.41666666666666669</v>
      </c>
      <c r="K42" s="202">
        <v>0.875</v>
      </c>
      <c r="L42" s="202">
        <v>0.79166666666666663</v>
      </c>
      <c r="M42" s="202">
        <v>0.33333333333333331</v>
      </c>
      <c r="N42" s="202">
        <v>0.125</v>
      </c>
      <c r="O42" s="204" t="e">
        <v>#REF!</v>
      </c>
      <c r="P42" s="204" t="e">
        <v>#REF!</v>
      </c>
      <c r="Q42" s="205"/>
      <c r="R42" s="197"/>
      <c r="S42" s="197"/>
      <c r="T42" s="206">
        <f>VLOOKUP(Table2[[#This Row],[Course Title]],Data!$A$1:$E$56,4,FALSE)</f>
        <v>45</v>
      </c>
      <c r="U42" s="206">
        <f>VLOOKUP(Table2[[#This Row],[Course Title]],Data!$A$1:$E$56,5,FALSE)</f>
        <v>5</v>
      </c>
      <c r="V42" s="206">
        <v>36</v>
      </c>
      <c r="W42" s="207">
        <v>0</v>
      </c>
      <c r="X42" s="206">
        <v>4</v>
      </c>
      <c r="Y42" s="206">
        <v>0</v>
      </c>
      <c r="Z42" s="206">
        <v>0</v>
      </c>
      <c r="AA42" s="208">
        <f ca="1">Table2[[#This Row],[End Date]]+2-TODAY()</f>
        <v>-150</v>
      </c>
      <c r="AB42" s="206">
        <f>IF(ISBLANK(#REF!),1,0)</f>
        <v>0</v>
      </c>
      <c r="AC42" s="206">
        <f ca="1">IF(Table2[[#This Row],[Start Date]]&gt;TODAY(),1,)</f>
        <v>0</v>
      </c>
    </row>
    <row r="43" spans="1:29" s="196" customFormat="1" ht="14.25" customHeight="1">
      <c r="A43" s="197"/>
      <c r="B43" s="198" t="s">
        <v>34</v>
      </c>
      <c r="C43" s="199" t="str">
        <f>VLOOKUP(Table2[[#This Row],[Course Title]],Data!$A$1:$E$56,2,FALSE)</f>
        <v>A-493-0085</v>
      </c>
      <c r="D43" s="199">
        <f>VLOOKUP(Table2[[#This Row],[Course Title]],Data!$A$1:$E$56,3,FALSE)</f>
        <v>3555</v>
      </c>
      <c r="E43" s="198" t="s">
        <v>116</v>
      </c>
      <c r="F43" s="201">
        <v>45243</v>
      </c>
      <c r="G43" s="201">
        <v>45246</v>
      </c>
      <c r="H43" s="201"/>
      <c r="I43" s="202">
        <v>800.33333333333337</v>
      </c>
      <c r="J43" s="202">
        <v>0.375</v>
      </c>
      <c r="K43" s="202">
        <v>0.79166666666666663</v>
      </c>
      <c r="L43" s="202">
        <v>0.70833333333333337</v>
      </c>
      <c r="M43" s="202">
        <v>0.25</v>
      </c>
      <c r="N43" s="202">
        <v>4.1666666666666664E-2</v>
      </c>
      <c r="O43" s="213" t="e">
        <v>#REF!</v>
      </c>
      <c r="P43" s="213" t="e">
        <v>#REF!</v>
      </c>
      <c r="Q43" s="214"/>
      <c r="R43" s="215"/>
      <c r="S43" s="215"/>
      <c r="T43" s="206">
        <f>VLOOKUP(Table2[[#This Row],[Course Title]],Data!$A$1:$E$56,4,FALSE)</f>
        <v>30</v>
      </c>
      <c r="U43" s="206">
        <f>VLOOKUP(Table2[[#This Row],[Course Title]],Data!$A$1:$E$56,5,FALSE)</f>
        <v>4</v>
      </c>
      <c r="V43" s="206">
        <v>28</v>
      </c>
      <c r="W43" s="207">
        <v>1</v>
      </c>
      <c r="X43" s="206">
        <v>5</v>
      </c>
      <c r="Y43" s="206">
        <v>0</v>
      </c>
      <c r="Z43" s="206">
        <v>0</v>
      </c>
      <c r="AA43" s="208">
        <f ca="1">Table2[[#This Row],[End Date]]+2-TODAY()</f>
        <v>-151</v>
      </c>
      <c r="AB43" s="206">
        <f>IF(ISBLANK(#REF!),1,0)</f>
        <v>0</v>
      </c>
      <c r="AC43" s="206">
        <f ca="1">IF(Table2[[#This Row],[Start Date]]&gt;TODAY(),1,)</f>
        <v>0</v>
      </c>
    </row>
    <row r="44" spans="1:29" s="196" customFormat="1" ht="14.25" customHeight="1">
      <c r="A44" s="197"/>
      <c r="B44" s="198" t="s">
        <v>19</v>
      </c>
      <c r="C44" s="199" t="str">
        <f>VLOOKUP(Table2[[#This Row],[Course Title]],Data!$A$1:$E$56,2,FALSE)</f>
        <v>A-493-0099</v>
      </c>
      <c r="D44" s="199" t="str">
        <f>VLOOKUP(Table2[[#This Row],[Course Title]],Data!$A$1:$E$56,3,FALSE)</f>
        <v>12JW</v>
      </c>
      <c r="E44" s="198" t="s">
        <v>116</v>
      </c>
      <c r="F44" s="200">
        <v>45244</v>
      </c>
      <c r="G44" s="200">
        <v>45246</v>
      </c>
      <c r="H44" s="200"/>
      <c r="I44" s="202">
        <v>0.29166666666666669</v>
      </c>
      <c r="J44" s="202">
        <v>0.16666666666666666</v>
      </c>
      <c r="K44" s="202">
        <v>0.625</v>
      </c>
      <c r="L44" s="202">
        <v>0.54166666666666663</v>
      </c>
      <c r="M44" s="202">
        <v>8.3333333333333329E-2</v>
      </c>
      <c r="N44" s="202">
        <v>0.875</v>
      </c>
      <c r="O44" s="204" t="e">
        <v>#REF!</v>
      </c>
      <c r="P44" s="204" t="e">
        <v>#REF!</v>
      </c>
      <c r="Q44" s="205"/>
      <c r="R44" s="197"/>
      <c r="S44" s="197"/>
      <c r="T44" s="206">
        <f>VLOOKUP(Table2[[#This Row],[Course Title]],Data!$A$1:$E$56,4,FALSE)</f>
        <v>45</v>
      </c>
      <c r="U44" s="206">
        <f>VLOOKUP(Table2[[#This Row],[Course Title]],Data!$A$1:$E$56,5,FALSE)</f>
        <v>3</v>
      </c>
      <c r="V44" s="206">
        <v>41</v>
      </c>
      <c r="W44" s="207">
        <v>0</v>
      </c>
      <c r="X44" s="206">
        <v>4</v>
      </c>
      <c r="Y44" s="206">
        <v>0</v>
      </c>
      <c r="Z44" s="199">
        <v>0</v>
      </c>
      <c r="AA44" s="208">
        <f ca="1">Table2[[#This Row],[End Date]]+2-TODAY()</f>
        <v>-151</v>
      </c>
      <c r="AB44" s="206">
        <f>IF(ISBLANK(#REF!),1,0)</f>
        <v>0</v>
      </c>
      <c r="AC44" s="206">
        <f ca="1">IF(Table2[[#This Row],[Start Date]]&gt;TODAY(),1,)</f>
        <v>0</v>
      </c>
    </row>
    <row r="45" spans="1:29" s="196" customFormat="1" ht="16.5" customHeight="1">
      <c r="A45" s="197"/>
      <c r="B45" s="198" t="s">
        <v>28</v>
      </c>
      <c r="C45" s="199" t="str">
        <f>VLOOKUP(Table2[[#This Row],[Course Title]],Data!$A$1:$E$56,2,FALSE)</f>
        <v>A-493-0092</v>
      </c>
      <c r="D45" s="199">
        <f>VLOOKUP(Table2[[#This Row],[Course Title]],Data!$A$1:$E$56,3,FALSE)</f>
        <v>5891</v>
      </c>
      <c r="E45" s="209" t="s">
        <v>141</v>
      </c>
      <c r="F45" s="201">
        <v>45244</v>
      </c>
      <c r="G45" s="201">
        <v>45246</v>
      </c>
      <c r="H45" s="203">
        <v>0.33333333333333331</v>
      </c>
      <c r="I45" s="203"/>
      <c r="J45" s="201"/>
      <c r="K45" s="201"/>
      <c r="L45" s="201"/>
      <c r="M45" s="201"/>
      <c r="N45" s="201"/>
      <c r="O45" s="204" t="e">
        <v>#REF!</v>
      </c>
      <c r="P45" s="204" t="e">
        <v>#REF!</v>
      </c>
      <c r="Q45" s="205"/>
      <c r="R45" s="197"/>
      <c r="S45" s="197"/>
      <c r="T45" s="206">
        <f>VLOOKUP(Table2[[#This Row],[Course Title]],Data!$A$1:$E$56,4,FALSE)</f>
        <v>25</v>
      </c>
      <c r="U45" s="206">
        <f>VLOOKUP(Table2[[#This Row],[Course Title]],Data!$A$1:$E$56,5,FALSE)</f>
        <v>3</v>
      </c>
      <c r="V45" s="206">
        <v>10</v>
      </c>
      <c r="W45" s="207">
        <v>0</v>
      </c>
      <c r="X45" s="206">
        <v>2</v>
      </c>
      <c r="Y45" s="206">
        <v>0</v>
      </c>
      <c r="Z45" s="206">
        <v>0</v>
      </c>
      <c r="AA45" s="208">
        <f ca="1">Table2[[#This Row],[End Date]]+2-TODAY()</f>
        <v>-151</v>
      </c>
      <c r="AB45" s="206">
        <f>IF(ISBLANK(#REF!),1,0)</f>
        <v>0</v>
      </c>
      <c r="AC45" s="206">
        <f ca="1">IF(Table2[[#This Row],[Start Date]]&gt;TODAY(),1,)</f>
        <v>0</v>
      </c>
    </row>
    <row r="46" spans="1:29" s="196" customFormat="1" ht="16.5" customHeight="1">
      <c r="A46" s="197"/>
      <c r="B46" s="198" t="s">
        <v>24</v>
      </c>
      <c r="C46" s="199" t="str">
        <f>VLOOKUP(Table2[[#This Row],[Course Title]],Data!$A$1:$E$56,2,FALSE)</f>
        <v>A-493-0083</v>
      </c>
      <c r="D46" s="199" t="str">
        <f>VLOOKUP(Table2[[#This Row],[Course Title]],Data!$A$1:$E$56,3,FALSE)</f>
        <v>339E</v>
      </c>
      <c r="E46" s="198" t="s">
        <v>116</v>
      </c>
      <c r="F46" s="200">
        <v>45244</v>
      </c>
      <c r="G46" s="200">
        <v>45244</v>
      </c>
      <c r="H46" s="200"/>
      <c r="I46" s="202">
        <v>0.33333333333333331</v>
      </c>
      <c r="J46" s="202">
        <v>0.20833333333333334</v>
      </c>
      <c r="K46" s="202">
        <v>0.66666666666666663</v>
      </c>
      <c r="L46" s="202">
        <v>0.58333333333333337</v>
      </c>
      <c r="M46" s="202">
        <v>0.125</v>
      </c>
      <c r="N46" s="202">
        <v>0.91666666666666663</v>
      </c>
      <c r="O46" s="218" t="e">
        <v>#REF!</v>
      </c>
      <c r="P46" s="213" t="e">
        <v>#REF!</v>
      </c>
      <c r="Q46" s="218"/>
      <c r="R46" s="215"/>
      <c r="S46" s="215"/>
      <c r="T46" s="206">
        <f>VLOOKUP(Table2[[#This Row],[Course Title]],Data!$A$1:$E$56,4,FALSE)</f>
        <v>30</v>
      </c>
      <c r="U46" s="206">
        <f>VLOOKUP(Table2[[#This Row],[Course Title]],Data!$A$1:$E$56,5,FALSE)</f>
        <v>1</v>
      </c>
      <c r="V46" s="206">
        <v>27</v>
      </c>
      <c r="W46" s="207">
        <v>0</v>
      </c>
      <c r="X46" s="206">
        <v>5</v>
      </c>
      <c r="Y46" s="206">
        <v>5</v>
      </c>
      <c r="Z46" s="206">
        <v>0</v>
      </c>
      <c r="AA46" s="208">
        <f ca="1">Table2[[#This Row],[End Date]]+2-TODAY()</f>
        <v>-153</v>
      </c>
      <c r="AB46" s="206">
        <f>IF(ISBLANK(#REF!),1,0)</f>
        <v>0</v>
      </c>
      <c r="AC46" s="206">
        <f ca="1">IF(Table2[[#This Row],[Start Date]]&gt;TODAY(),1,)</f>
        <v>0</v>
      </c>
    </row>
    <row r="47" spans="1:29" s="196" customFormat="1" ht="14.25" customHeight="1">
      <c r="A47" s="197" t="s">
        <v>466</v>
      </c>
      <c r="B47" s="198" t="s">
        <v>333</v>
      </c>
      <c r="C47" s="199" t="str">
        <f>VLOOKUP(Table2[[#This Row],[Course Title]],Data!$A$1:$E$56,2,FALSE)</f>
        <v>NA</v>
      </c>
      <c r="D47" s="199" t="str">
        <f>VLOOKUP(Table2[[#This Row],[Course Title]],Data!$A$1:$E$56,3,FALSE)</f>
        <v>NA</v>
      </c>
      <c r="E47" s="198" t="s">
        <v>140</v>
      </c>
      <c r="F47" s="223">
        <v>45251</v>
      </c>
      <c r="G47" s="223">
        <v>45251</v>
      </c>
      <c r="H47" s="210" t="s">
        <v>467</v>
      </c>
      <c r="I47" s="203"/>
      <c r="J47" s="201"/>
      <c r="K47" s="201"/>
      <c r="L47" s="201"/>
      <c r="M47" s="201"/>
      <c r="N47" s="201"/>
      <c r="O47" s="207"/>
      <c r="P47" s="204"/>
      <c r="Q47" s="207"/>
      <c r="R47" s="197"/>
      <c r="S47" s="197"/>
      <c r="T47" s="207"/>
      <c r="U47" s="204"/>
      <c r="V47" s="207"/>
      <c r="W47" s="207"/>
      <c r="X47" s="206"/>
      <c r="Y47" s="206"/>
      <c r="Z47" s="206"/>
      <c r="AA47" s="208">
        <f ca="1">Table2[[#This Row],[End Date]]+2-TODAY()</f>
        <v>-146</v>
      </c>
      <c r="AB47" s="206">
        <f>IF(ISBLANK(#REF!),1,0)</f>
        <v>0</v>
      </c>
      <c r="AC47" s="206">
        <f ca="1">IF(Table2[[#This Row],[Start Date]]&gt;TODAY(),1,)</f>
        <v>0</v>
      </c>
    </row>
    <row r="48" spans="1:29" s="196" customFormat="1" ht="14.25" customHeight="1">
      <c r="A48" s="197" t="s">
        <v>468</v>
      </c>
      <c r="B48" s="198" t="s">
        <v>330</v>
      </c>
      <c r="C48" s="199" t="str">
        <f>VLOOKUP(Table2[[#This Row],[Course Title]],Data!$A$1:$E$56,2,FALSE)</f>
        <v>Holiday</v>
      </c>
      <c r="D48" s="199" t="str">
        <f>VLOOKUP(Table2[[#This Row],[Course Title]],Data!$A$1:$E$56,3,FALSE)</f>
        <v>Holiday</v>
      </c>
      <c r="E48" s="198"/>
      <c r="F48" s="201">
        <v>45253</v>
      </c>
      <c r="G48" s="201">
        <v>45253</v>
      </c>
      <c r="H48" s="203">
        <v>0</v>
      </c>
      <c r="I48" s="203">
        <v>0</v>
      </c>
      <c r="J48" s="203">
        <v>0</v>
      </c>
      <c r="K48" s="203">
        <v>0</v>
      </c>
      <c r="L48" s="203">
        <v>0</v>
      </c>
      <c r="M48" s="203">
        <v>0</v>
      </c>
      <c r="N48" s="203">
        <v>0</v>
      </c>
      <c r="O48" s="204" t="e">
        <v>#REF!</v>
      </c>
      <c r="P48" s="204" t="e">
        <v>#REF!</v>
      </c>
      <c r="Q48" s="205">
        <v>0</v>
      </c>
      <c r="R48" s="197">
        <v>0</v>
      </c>
      <c r="S48" s="197">
        <v>0</v>
      </c>
      <c r="T48" s="206">
        <f>VLOOKUP(Table2[[#This Row],[Course Title]],Data!$A$1:$E$56,4,FALSE)</f>
        <v>0</v>
      </c>
      <c r="U48" s="206">
        <f>VLOOKUP(Table2[[#This Row],[Course Title]],Data!$A$1:$E$56,5,FALSE)</f>
        <v>0</v>
      </c>
      <c r="V48" s="206">
        <v>0</v>
      </c>
      <c r="W48" s="207">
        <v>0</v>
      </c>
      <c r="X48" s="206">
        <v>0</v>
      </c>
      <c r="Y48" s="206">
        <v>0</v>
      </c>
      <c r="Z48" s="206">
        <v>0</v>
      </c>
      <c r="AA48" s="208">
        <f ca="1">Table2[[#This Row],[End Date]]+2-TODAY()</f>
        <v>-144</v>
      </c>
      <c r="AB48" s="206">
        <f>IF(ISBLANK(#REF!),1,0)</f>
        <v>0</v>
      </c>
      <c r="AC48" s="206">
        <f ca="1">IF(Table2[[#This Row],[Start Date]]&gt;TODAY(),1,)</f>
        <v>0</v>
      </c>
    </row>
    <row r="49" spans="1:29" s="196" customFormat="1" ht="14.25" customHeight="1">
      <c r="A49" s="197" t="s">
        <v>469</v>
      </c>
      <c r="B49" s="198" t="s">
        <v>333</v>
      </c>
      <c r="C49" s="199" t="str">
        <f>VLOOKUP(Table2[[#This Row],[Course Title]],Data!$A$1:$E$56,2,FALSE)</f>
        <v>NA</v>
      </c>
      <c r="D49" s="199" t="str">
        <f>VLOOKUP(Table2[[#This Row],[Course Title]],Data!$A$1:$E$56,3,FALSE)</f>
        <v>NA</v>
      </c>
      <c r="E49" s="198" t="s">
        <v>140</v>
      </c>
      <c r="F49" s="201">
        <v>45257</v>
      </c>
      <c r="G49" s="201">
        <v>45257</v>
      </c>
      <c r="H49" s="203">
        <v>0.375</v>
      </c>
      <c r="I49" s="203"/>
      <c r="J49" s="201"/>
      <c r="K49" s="201"/>
      <c r="L49" s="201"/>
      <c r="M49" s="201"/>
      <c r="N49" s="201"/>
      <c r="O49" s="204" t="e">
        <v>#REF!</v>
      </c>
      <c r="P49" s="204" t="e">
        <v>#REF!</v>
      </c>
      <c r="Q49" s="205">
        <v>0</v>
      </c>
      <c r="R49" s="197">
        <v>0</v>
      </c>
      <c r="S49" s="197">
        <v>0</v>
      </c>
      <c r="T49" s="206">
        <f>VLOOKUP(Table2[[#This Row],[Course Title]],Data!$A$1:$E$56,4,FALSE)</f>
        <v>0</v>
      </c>
      <c r="U49" s="206">
        <f>VLOOKUP(Table2[[#This Row],[Course Title]],Data!$A$1:$E$56,5,FALSE)</f>
        <v>0</v>
      </c>
      <c r="V49" s="206">
        <v>0</v>
      </c>
      <c r="W49" s="207">
        <v>0</v>
      </c>
      <c r="X49" s="206">
        <v>0</v>
      </c>
      <c r="Y49" s="206">
        <v>0</v>
      </c>
      <c r="Z49" s="206">
        <v>0</v>
      </c>
      <c r="AA49" s="208">
        <f ca="1">Table2[[#This Row],[End Date]]+2-TODAY()</f>
        <v>-140</v>
      </c>
      <c r="AB49" s="206">
        <f>IF(ISBLANK(#REF!),1,0)</f>
        <v>0</v>
      </c>
      <c r="AC49" s="206">
        <f ca="1">IF(Table2[[#This Row],[Start Date]]&gt;TODAY(),1,)</f>
        <v>0</v>
      </c>
    </row>
    <row r="50" spans="1:29" s="196" customFormat="1" ht="14.25" customHeight="1">
      <c r="A50" s="215" t="s">
        <v>470</v>
      </c>
      <c r="B50" s="224" t="s">
        <v>331</v>
      </c>
      <c r="C50" s="225" t="str">
        <f>VLOOKUP(Table2[[#This Row],[Course Title]],Data!$A$1:$E$56,2,FALSE)</f>
        <v>NA</v>
      </c>
      <c r="D50" s="225" t="str">
        <f>VLOOKUP(Table2[[#This Row],[Course Title]],Data!$A$1:$E$56,3,FALSE)</f>
        <v>NA</v>
      </c>
      <c r="E50" s="224" t="s">
        <v>141</v>
      </c>
      <c r="F50" s="226">
        <v>45257</v>
      </c>
      <c r="G50" s="226">
        <v>45261</v>
      </c>
      <c r="H50" s="227">
        <v>0</v>
      </c>
      <c r="I50" s="227">
        <v>0</v>
      </c>
      <c r="J50" s="227">
        <v>0</v>
      </c>
      <c r="K50" s="227">
        <v>0</v>
      </c>
      <c r="L50" s="227">
        <v>0</v>
      </c>
      <c r="M50" s="227">
        <v>0</v>
      </c>
      <c r="N50" s="227">
        <v>0</v>
      </c>
      <c r="O50" s="218"/>
      <c r="P50" s="213"/>
      <c r="Q50" s="218"/>
      <c r="R50" s="215"/>
      <c r="S50" s="215"/>
      <c r="T50" s="218">
        <v>0</v>
      </c>
      <c r="U50" s="213">
        <v>0</v>
      </c>
      <c r="V50" s="218">
        <v>0</v>
      </c>
      <c r="W50" s="218">
        <v>0</v>
      </c>
      <c r="X50" s="228">
        <v>0</v>
      </c>
      <c r="Y50" s="228">
        <v>0</v>
      </c>
      <c r="Z50" s="228">
        <v>0</v>
      </c>
      <c r="AA50" s="229">
        <f ca="1">Table2[[#This Row],[End Date]]+2-TODAY()</f>
        <v>-136</v>
      </c>
      <c r="AB50" s="228">
        <f>IF(ISBLANK(#REF!),1,0)</f>
        <v>0</v>
      </c>
      <c r="AC50" s="228">
        <f ca="1">IF(Table2[[#This Row],[Start Date]]&gt;TODAY(),1,)</f>
        <v>0</v>
      </c>
    </row>
    <row r="51" spans="1:29" s="230" customFormat="1" ht="14.25" customHeight="1">
      <c r="A51" s="197"/>
      <c r="B51" s="198" t="s">
        <v>299</v>
      </c>
      <c r="C51" s="199" t="str">
        <f>VLOOKUP(Table2[[#This Row],[Course Title]],Data!$A$1:$E$56,2,FALSE)</f>
        <v>A-570-0100</v>
      </c>
      <c r="D51" s="199" t="s">
        <v>301</v>
      </c>
      <c r="E51" s="198" t="s">
        <v>116</v>
      </c>
      <c r="F51" s="201">
        <v>45257</v>
      </c>
      <c r="G51" s="201">
        <v>45260</v>
      </c>
      <c r="H51" s="201"/>
      <c r="I51" s="202">
        <v>0.54166666666666663</v>
      </c>
      <c r="J51" s="202">
        <v>0.41666666666666669</v>
      </c>
      <c r="K51" s="202">
        <v>0.875</v>
      </c>
      <c r="L51" s="202">
        <v>0.79166666666666663</v>
      </c>
      <c r="M51" s="202">
        <v>0.33333333333333331</v>
      </c>
      <c r="N51" s="202">
        <v>0.125</v>
      </c>
      <c r="O51" s="218" t="e">
        <v>#REF!</v>
      </c>
      <c r="P51" s="213" t="e">
        <v>#REF!</v>
      </c>
      <c r="Q51" s="218"/>
      <c r="R51" s="215"/>
      <c r="S51" s="215"/>
      <c r="T51" s="206">
        <f>VLOOKUP(Table2[[#This Row],[Course Title]],Data!$A$1:$E$56,4,FALSE)</f>
        <v>30</v>
      </c>
      <c r="U51" s="206">
        <f>VLOOKUP(Table2[[#This Row],[Course Title]],Data!$A$1:$E$56,5,FALSE)</f>
        <v>4</v>
      </c>
      <c r="V51" s="206">
        <v>19</v>
      </c>
      <c r="W51" s="207">
        <v>4</v>
      </c>
      <c r="X51" s="206">
        <v>8</v>
      </c>
      <c r="Y51" s="206">
        <v>1</v>
      </c>
      <c r="Z51" s="206">
        <v>0</v>
      </c>
      <c r="AA51" s="208">
        <f ca="1">Table2[[#This Row],[End Date]]+2-TODAY()</f>
        <v>-137</v>
      </c>
      <c r="AB51" s="206">
        <f>IF(ISBLANK(#REF!),1,0)</f>
        <v>0</v>
      </c>
      <c r="AC51" s="206">
        <f ca="1">IF(Table2[[#This Row],[Start Date]]&gt;TODAY(),1,)</f>
        <v>0</v>
      </c>
    </row>
    <row r="52" spans="1:29" s="211" customFormat="1" ht="14.25" customHeight="1">
      <c r="A52" s="197"/>
      <c r="B52" s="198" t="s">
        <v>19</v>
      </c>
      <c r="C52" s="199" t="str">
        <f>VLOOKUP(Table2[[#This Row],[Course Title]],Data!$A$1:$E$56,2,FALSE)</f>
        <v>A-493-0099</v>
      </c>
      <c r="D52" s="199" t="str">
        <f>VLOOKUP(Table2[[#This Row],[Course Title]],Data!$A$1:$E$56,3,FALSE)</f>
        <v>12JW</v>
      </c>
      <c r="E52" s="198" t="s">
        <v>116</v>
      </c>
      <c r="F52" s="201">
        <v>45258</v>
      </c>
      <c r="G52" s="201">
        <v>45260</v>
      </c>
      <c r="H52" s="201"/>
      <c r="I52" s="202">
        <v>0.33333333333333331</v>
      </c>
      <c r="J52" s="202">
        <v>0.20833333333333334</v>
      </c>
      <c r="K52" s="202">
        <v>0.66666666666666663</v>
      </c>
      <c r="L52" s="202">
        <v>0.58333333333333337</v>
      </c>
      <c r="M52" s="202">
        <v>0.125</v>
      </c>
      <c r="N52" s="202">
        <v>0.91666666666666663</v>
      </c>
      <c r="O52" s="204" t="e">
        <v>#REF!</v>
      </c>
      <c r="P52" s="204" t="e">
        <v>#REF!</v>
      </c>
      <c r="Q52" s="205"/>
      <c r="R52" s="197"/>
      <c r="S52" s="197"/>
      <c r="T52" s="206">
        <f>VLOOKUP(Table2[[#This Row],[Course Title]],Data!$A$1:$E$56,4,FALSE)</f>
        <v>45</v>
      </c>
      <c r="U52" s="206">
        <f>VLOOKUP(Table2[[#This Row],[Course Title]],Data!$A$1:$E$56,5,FALSE)</f>
        <v>3</v>
      </c>
      <c r="V52" s="206">
        <v>40</v>
      </c>
      <c r="W52" s="207">
        <v>0</v>
      </c>
      <c r="X52" s="206">
        <v>2</v>
      </c>
      <c r="Y52" s="206">
        <v>0</v>
      </c>
      <c r="Z52" s="207">
        <v>0</v>
      </c>
      <c r="AA52" s="208">
        <f ca="1">Table2[[#This Row],[End Date]]+2-TODAY()</f>
        <v>-137</v>
      </c>
      <c r="AB52" s="206">
        <f>IF(ISBLANK(#REF!),1,0)</f>
        <v>0</v>
      </c>
      <c r="AC52" s="206">
        <f ca="1">IF(Table2[[#This Row],[Start Date]]&gt;TODAY(),1,)</f>
        <v>0</v>
      </c>
    </row>
    <row r="53" spans="1:29" s="211" customFormat="1" ht="14.25" customHeight="1">
      <c r="A53" s="197"/>
      <c r="B53" s="198" t="s">
        <v>38</v>
      </c>
      <c r="C53" s="199" t="str">
        <f>VLOOKUP(Table2[[#This Row],[Course Title]],Data!$A$1:$E$56,2,FALSE)</f>
        <v>A-493-0072</v>
      </c>
      <c r="D53" s="199" t="s">
        <v>304</v>
      </c>
      <c r="E53" s="209" t="s">
        <v>140</v>
      </c>
      <c r="F53" s="231">
        <v>45258</v>
      </c>
      <c r="G53" s="201">
        <v>45261</v>
      </c>
      <c r="H53" s="210">
        <v>0.33333333333333331</v>
      </c>
      <c r="I53" s="210"/>
      <c r="J53" s="201"/>
      <c r="K53" s="201"/>
      <c r="L53" s="201"/>
      <c r="M53" s="201"/>
      <c r="N53" s="201"/>
      <c r="O53" s="207" t="e">
        <v>#REF!</v>
      </c>
      <c r="P53" s="207" t="e">
        <v>#REF!</v>
      </c>
      <c r="Q53" s="205"/>
      <c r="R53" s="197"/>
      <c r="S53" s="197"/>
      <c r="T53" s="206">
        <f>VLOOKUP(Table2[[#This Row],[Course Title]],Data!$A$1:$E$56,4,FALSE)</f>
        <v>30</v>
      </c>
      <c r="U53" s="206">
        <f>VLOOKUP(Table2[[#This Row],[Course Title]],Data!$A$1:$E$56,5,FALSE)</f>
        <v>4</v>
      </c>
      <c r="V53" s="206">
        <v>27</v>
      </c>
      <c r="W53" s="207">
        <v>0</v>
      </c>
      <c r="X53" s="206">
        <v>4</v>
      </c>
      <c r="Y53" s="206">
        <v>1</v>
      </c>
      <c r="Z53" s="207">
        <v>0</v>
      </c>
      <c r="AA53" s="208">
        <f ca="1">Table2[[#This Row],[End Date]]+2-TODAY()</f>
        <v>-136</v>
      </c>
      <c r="AB53" s="206">
        <f>IF(ISBLANK(#REF!),1,0)</f>
        <v>0</v>
      </c>
      <c r="AC53" s="206">
        <f ca="1">IF(Table2[[#This Row],[Start Date]]&gt;TODAY(),1,)</f>
        <v>0</v>
      </c>
    </row>
    <row r="54" spans="1:29" s="196" customFormat="1" ht="14.25" customHeight="1">
      <c r="A54" s="197"/>
      <c r="B54" s="198" t="s">
        <v>276</v>
      </c>
      <c r="C54" s="199" t="str">
        <f>VLOOKUP(Table2[[#This Row],[Course Title]],Data!$A$1:$E$56,2,FALSE)</f>
        <v>A-493-0550</v>
      </c>
      <c r="D54" s="199" t="str">
        <f>VLOOKUP(Table2[[#This Row],[Course Title]],Data!$A$1:$E$56,3,FALSE)</f>
        <v>09K5</v>
      </c>
      <c r="E54" s="198" t="s">
        <v>116</v>
      </c>
      <c r="F54" s="201">
        <v>45264</v>
      </c>
      <c r="G54" s="201">
        <v>45268</v>
      </c>
      <c r="H54" s="201"/>
      <c r="I54" s="202">
        <v>0.33333333333333331</v>
      </c>
      <c r="J54" s="202">
        <v>0.20833333333333334</v>
      </c>
      <c r="K54" s="202">
        <v>0.66666666666666663</v>
      </c>
      <c r="L54" s="202">
        <v>0.58333333333333337</v>
      </c>
      <c r="M54" s="202">
        <v>0.125</v>
      </c>
      <c r="N54" s="202">
        <v>0.91666666666666663</v>
      </c>
      <c r="O54" s="213" t="e">
        <v>#REF!</v>
      </c>
      <c r="P54" s="213" t="e">
        <v>#REF!</v>
      </c>
      <c r="Q54" s="214"/>
      <c r="R54" s="215"/>
      <c r="S54" s="215"/>
      <c r="T54" s="206">
        <f>VLOOKUP(Table2[[#This Row],[Course Title]],Data!$A$1:$E$56,4,FALSE)</f>
        <v>45</v>
      </c>
      <c r="U54" s="206">
        <f>VLOOKUP(Table2[[#This Row],[Course Title]],Data!$A$1:$E$56,5,FALSE)</f>
        <v>4</v>
      </c>
      <c r="V54" s="206">
        <v>32</v>
      </c>
      <c r="W54" s="207">
        <v>1</v>
      </c>
      <c r="X54" s="206">
        <v>12</v>
      </c>
      <c r="Y54" s="206">
        <v>1</v>
      </c>
      <c r="Z54" s="206">
        <v>0</v>
      </c>
      <c r="AA54" s="208">
        <f ca="1">Table2[[#This Row],[End Date]]+2-TODAY()</f>
        <v>-129</v>
      </c>
      <c r="AB54" s="206">
        <f>IF(ISBLANK(#REF!),1,0)</f>
        <v>0</v>
      </c>
      <c r="AC54" s="206">
        <f ca="1">IF(Table2[[#This Row],[Start Date]]&gt;TODAY(),1,)</f>
        <v>0</v>
      </c>
    </row>
    <row r="55" spans="1:29" s="196" customFormat="1" ht="14.25" customHeight="1">
      <c r="A55" s="197"/>
      <c r="B55" s="198" t="s">
        <v>287</v>
      </c>
      <c r="C55" s="199" t="str">
        <f>VLOOKUP(Table2[[#This Row],[Course Title]],Data!$A$1:$E$56,2,FALSE)</f>
        <v>A-493-0078</v>
      </c>
      <c r="D55" s="199">
        <f>VLOOKUP(Table2[[#This Row],[Course Title]],Data!$A$1:$E$56,3,FALSE)</f>
        <v>1228</v>
      </c>
      <c r="E55" s="198" t="s">
        <v>116</v>
      </c>
      <c r="F55" s="201">
        <v>45264</v>
      </c>
      <c r="G55" s="201">
        <v>45268</v>
      </c>
      <c r="H55" s="201"/>
      <c r="I55" s="202">
        <v>0.54166666666666663</v>
      </c>
      <c r="J55" s="202">
        <v>0.41666666666666669</v>
      </c>
      <c r="K55" s="202">
        <v>0.875</v>
      </c>
      <c r="L55" s="202">
        <v>0.79166666666666663</v>
      </c>
      <c r="M55" s="202">
        <v>0.33333333333333331</v>
      </c>
      <c r="N55" s="202">
        <v>0.125</v>
      </c>
      <c r="O55" s="213" t="e">
        <v>#REF!</v>
      </c>
      <c r="P55" s="213" t="e">
        <v>#REF!</v>
      </c>
      <c r="Q55" s="214"/>
      <c r="R55" s="215"/>
      <c r="S55" s="215"/>
      <c r="T55" s="206">
        <f>VLOOKUP(Table2[[#This Row],[Course Title]],Data!$A$1:$E$56,4,FALSE)</f>
        <v>45</v>
      </c>
      <c r="U55" s="206">
        <f>VLOOKUP(Table2[[#This Row],[Course Title]],Data!$A$1:$E$56,5,FALSE)</f>
        <v>5</v>
      </c>
      <c r="V55" s="206">
        <v>40</v>
      </c>
      <c r="W55" s="207">
        <v>0</v>
      </c>
      <c r="X55" s="206">
        <v>6</v>
      </c>
      <c r="Y55" s="206">
        <v>1</v>
      </c>
      <c r="Z55" s="206">
        <v>0</v>
      </c>
      <c r="AA55" s="208">
        <f ca="1">Table2[[#This Row],[End Date]]+2-TODAY()</f>
        <v>-129</v>
      </c>
      <c r="AB55" s="206">
        <f>IF(ISBLANK(#REF!),1,0)</f>
        <v>0</v>
      </c>
      <c r="AC55" s="206">
        <f ca="1">IF(Table2[[#This Row],[Start Date]]&gt;TODAY(),1,)</f>
        <v>0</v>
      </c>
    </row>
    <row r="56" spans="1:29" s="196" customFormat="1" ht="14.25" customHeight="1">
      <c r="A56" s="197"/>
      <c r="B56" s="198" t="s">
        <v>299</v>
      </c>
      <c r="C56" s="199" t="str">
        <f>VLOOKUP(Table2[[#This Row],[Course Title]],Data!$A$1:$E$56,2,FALSE)</f>
        <v>A-570-0100</v>
      </c>
      <c r="D56" s="199" t="str">
        <f>VLOOKUP(Table2[[#This Row],[Course Title]],Data!$A$1:$E$56,3,FALSE)</f>
        <v>18B7</v>
      </c>
      <c r="E56" s="198" t="s">
        <v>116</v>
      </c>
      <c r="F56" s="201">
        <v>45264</v>
      </c>
      <c r="G56" s="201">
        <v>45267</v>
      </c>
      <c r="H56" s="201"/>
      <c r="I56" s="202">
        <v>0.54166666666666663</v>
      </c>
      <c r="J56" s="202">
        <v>0.41666666666666669</v>
      </c>
      <c r="K56" s="202">
        <v>0.875</v>
      </c>
      <c r="L56" s="202">
        <v>0.79166666666666663</v>
      </c>
      <c r="M56" s="202">
        <v>0.33333333333333331</v>
      </c>
      <c r="N56" s="202">
        <v>0.125</v>
      </c>
      <c r="O56" s="218" t="e">
        <v>#REF!</v>
      </c>
      <c r="P56" s="213" t="e">
        <v>#REF!</v>
      </c>
      <c r="Q56" s="218"/>
      <c r="R56" s="215"/>
      <c r="S56" s="215"/>
      <c r="T56" s="206">
        <f>VLOOKUP(Table2[[#This Row],[Course Title]],Data!$A$1:$E$56,4,FALSE)</f>
        <v>30</v>
      </c>
      <c r="U56" s="206">
        <f>VLOOKUP(Table2[[#This Row],[Course Title]],Data!$A$1:$E$56,5,FALSE)</f>
        <v>4</v>
      </c>
      <c r="V56" s="206">
        <v>28</v>
      </c>
      <c r="W56" s="207">
        <v>0</v>
      </c>
      <c r="X56" s="206">
        <v>5</v>
      </c>
      <c r="Y56" s="206">
        <v>3</v>
      </c>
      <c r="Z56" s="206">
        <v>0</v>
      </c>
      <c r="AA56" s="208">
        <f ca="1">Table2[[#This Row],[End Date]]+2-TODAY()</f>
        <v>-130</v>
      </c>
      <c r="AB56" s="206">
        <f>IF(ISBLANK(#REF!),1,0)</f>
        <v>0</v>
      </c>
      <c r="AC56" s="206">
        <f ca="1">IF(Table2[[#This Row],[Start Date]]&gt;TODAY(),1,)</f>
        <v>0</v>
      </c>
    </row>
    <row r="57" spans="1:29" s="196" customFormat="1" ht="14.25" customHeight="1">
      <c r="A57" s="197" t="s">
        <v>432</v>
      </c>
      <c r="B57" s="198" t="s">
        <v>38</v>
      </c>
      <c r="C57" s="199" t="str">
        <f>VLOOKUP(Table2[[#This Row],[Course Title]],Data!$A$1:$E$56,2,FALSE)</f>
        <v>A-493-0072</v>
      </c>
      <c r="D57" s="199" t="str">
        <f>VLOOKUP(Table2[[#This Row],[Course Title]],Data!$A$1:$E$56,3,FALSE)</f>
        <v>713U</v>
      </c>
      <c r="E57" s="198" t="s">
        <v>302</v>
      </c>
      <c r="F57" s="201">
        <v>45264</v>
      </c>
      <c r="G57" s="201">
        <v>45267</v>
      </c>
      <c r="H57" s="210">
        <v>0.33333333333333331</v>
      </c>
      <c r="I57" s="210"/>
      <c r="J57" s="201"/>
      <c r="K57" s="201"/>
      <c r="L57" s="201"/>
      <c r="M57" s="201"/>
      <c r="N57" s="201"/>
      <c r="O57" s="213" t="e">
        <v>#REF!</v>
      </c>
      <c r="P57" s="213" t="e">
        <v>#REF!</v>
      </c>
      <c r="Q57" s="214"/>
      <c r="R57" s="215"/>
      <c r="S57" s="215"/>
      <c r="T57" s="206">
        <f>VLOOKUP(Table2[[#This Row],[Course Title]],Data!$A$1:$E$56,4,FALSE)</f>
        <v>30</v>
      </c>
      <c r="U57" s="206">
        <f>VLOOKUP(Table2[[#This Row],[Course Title]],Data!$A$1:$E$56,5,FALSE)</f>
        <v>4</v>
      </c>
      <c r="V57" s="206">
        <v>9</v>
      </c>
      <c r="W57" s="207">
        <v>0</v>
      </c>
      <c r="X57" s="206">
        <v>0</v>
      </c>
      <c r="Y57" s="206">
        <v>0</v>
      </c>
      <c r="Z57" s="206">
        <v>0</v>
      </c>
      <c r="AA57" s="208">
        <f ca="1">Table2[[#This Row],[End Date]]+2-TODAY()</f>
        <v>-130</v>
      </c>
      <c r="AB57" s="206">
        <f>IF(ISBLANK(#REF!),1,0)</f>
        <v>0</v>
      </c>
      <c r="AC57" s="206">
        <f ca="1">IF(Table2[[#This Row],[Start Date]]&gt;TODAY(),1,)</f>
        <v>0</v>
      </c>
    </row>
    <row r="58" spans="1:29" s="196" customFormat="1" ht="14.25" customHeight="1">
      <c r="A58" s="198"/>
      <c r="B58" s="198" t="s">
        <v>266</v>
      </c>
      <c r="C58" s="199" t="str">
        <f>VLOOKUP(Table2[[#This Row],[Course Title]],Data!$A$1:$E$56,2,FALSE)</f>
        <v>A-493-0331</v>
      </c>
      <c r="D58" s="199" t="str">
        <f>VLOOKUP(Table2[[#This Row],[Course Title]],Data!$A$1:$E$56,3,FALSE)</f>
        <v>10UG</v>
      </c>
      <c r="E58" s="198" t="s">
        <v>116</v>
      </c>
      <c r="F58" s="201">
        <v>45265</v>
      </c>
      <c r="G58" s="201">
        <v>45267</v>
      </c>
      <c r="H58" s="201"/>
      <c r="I58" s="202">
        <v>0.5</v>
      </c>
      <c r="J58" s="202">
        <v>0.375</v>
      </c>
      <c r="K58" s="202">
        <v>0.83333333333333337</v>
      </c>
      <c r="L58" s="202">
        <v>0.75</v>
      </c>
      <c r="M58" s="202">
        <v>0.29166666666666669</v>
      </c>
      <c r="N58" s="202">
        <v>8.3333333333333329E-2</v>
      </c>
      <c r="O58" s="213" t="e">
        <v>#REF!</v>
      </c>
      <c r="P58" s="213" t="e">
        <v>#REF!</v>
      </c>
      <c r="Q58" s="214"/>
      <c r="R58" s="215"/>
      <c r="S58" s="215"/>
      <c r="T58" s="206">
        <f>VLOOKUP(Table2[[#This Row],[Course Title]],Data!$A$1:$E$56,4,FALSE)</f>
        <v>40</v>
      </c>
      <c r="U58" s="206">
        <f>VLOOKUP(Table2[[#This Row],[Course Title]],Data!$A$1:$E$56,5,FALSE)</f>
        <v>3</v>
      </c>
      <c r="V58" s="206">
        <v>33</v>
      </c>
      <c r="W58" s="207">
        <v>1</v>
      </c>
      <c r="X58" s="206">
        <v>9</v>
      </c>
      <c r="Y58" s="206">
        <v>0</v>
      </c>
      <c r="Z58" s="206">
        <v>0</v>
      </c>
      <c r="AA58" s="208">
        <f ca="1">Table2[[#This Row],[End Date]]+2-TODAY()</f>
        <v>-130</v>
      </c>
      <c r="AB58" s="206">
        <f>IF(ISBLANK(#REF!),1,0)</f>
        <v>0</v>
      </c>
      <c r="AC58" s="206">
        <f ca="1">IF(Table2[[#This Row],[Start Date]]&gt;TODAY(),1,)</f>
        <v>0</v>
      </c>
    </row>
    <row r="59" spans="1:29" s="196" customFormat="1" ht="16.5" customHeight="1">
      <c r="A59" s="232" t="s">
        <v>471</v>
      </c>
      <c r="B59" s="224" t="s">
        <v>331</v>
      </c>
      <c r="C59" s="225" t="str">
        <f>VLOOKUP(Table2[[#This Row],[Course Title]],Data!$A$1:$E$56,2,FALSE)</f>
        <v>NA</v>
      </c>
      <c r="D59" s="225" t="str">
        <f>VLOOKUP(Table2[[#This Row],[Course Title]],Data!$A$1:$E$56,3,FALSE)</f>
        <v>NA</v>
      </c>
      <c r="E59" s="224" t="s">
        <v>140</v>
      </c>
      <c r="F59" s="226">
        <v>45271</v>
      </c>
      <c r="G59" s="226">
        <v>45273</v>
      </c>
      <c r="H59" s="227">
        <v>0</v>
      </c>
      <c r="I59" s="227">
        <v>0</v>
      </c>
      <c r="J59" s="227">
        <v>0</v>
      </c>
      <c r="K59" s="227">
        <v>0</v>
      </c>
      <c r="L59" s="227">
        <v>0</v>
      </c>
      <c r="M59" s="227">
        <v>0</v>
      </c>
      <c r="N59" s="227">
        <v>0</v>
      </c>
      <c r="O59" s="218"/>
      <c r="P59" s="213"/>
      <c r="Q59" s="218"/>
      <c r="R59" s="215"/>
      <c r="S59" s="215"/>
      <c r="T59" s="218">
        <v>0</v>
      </c>
      <c r="U59" s="213">
        <v>0</v>
      </c>
      <c r="V59" s="218">
        <v>0</v>
      </c>
      <c r="W59" s="218">
        <v>0</v>
      </c>
      <c r="X59" s="228">
        <v>0</v>
      </c>
      <c r="Y59" s="228">
        <v>0</v>
      </c>
      <c r="Z59" s="228">
        <v>0</v>
      </c>
      <c r="AA59" s="229">
        <f ca="1">Table2[[#This Row],[End Date]]+2-TODAY()</f>
        <v>-124</v>
      </c>
      <c r="AB59" s="228">
        <f>IF(ISBLANK(#REF!),1,0)</f>
        <v>0</v>
      </c>
      <c r="AC59" s="228">
        <f ca="1">IF(Table2[[#This Row],[Start Date]]&gt;TODAY(),1,)</f>
        <v>0</v>
      </c>
    </row>
    <row r="60" spans="1:29" s="196" customFormat="1" ht="14.25" customHeight="1">
      <c r="A60" s="197"/>
      <c r="B60" s="198" t="s">
        <v>242</v>
      </c>
      <c r="C60" s="199" t="str">
        <f>VLOOKUP(Table2[[#This Row],[Course Title]],Data!$A$1:$E$56,2,FALSE)</f>
        <v>A-493-0061</v>
      </c>
      <c r="D60" s="199" t="str">
        <f>VLOOKUP(Table2[[#This Row],[Course Title]],Data!$A$1:$E$56,3,FALSE)</f>
        <v>288E</v>
      </c>
      <c r="E60" s="198" t="s">
        <v>116</v>
      </c>
      <c r="F60" s="201">
        <v>45271</v>
      </c>
      <c r="G60" s="201">
        <v>45275</v>
      </c>
      <c r="H60" s="201"/>
      <c r="I60" s="202">
        <v>0.54166666666666663</v>
      </c>
      <c r="J60" s="202">
        <v>0.41666666666666669</v>
      </c>
      <c r="K60" s="202">
        <v>0.875</v>
      </c>
      <c r="L60" s="202">
        <v>0.79166666666666663</v>
      </c>
      <c r="M60" s="202">
        <v>0.33333333333333331</v>
      </c>
      <c r="N60" s="202">
        <v>0.125</v>
      </c>
      <c r="O60" s="213" t="e">
        <v>#REF!</v>
      </c>
      <c r="P60" s="213" t="e">
        <v>#REF!</v>
      </c>
      <c r="Q60" s="233"/>
      <c r="R60" s="215"/>
      <c r="S60" s="224"/>
      <c r="T60" s="206">
        <f>VLOOKUP(Table2[[#This Row],[Course Title]],Data!$A$1:$E$56,4,FALSE)</f>
        <v>45</v>
      </c>
      <c r="U60" s="206">
        <f>VLOOKUP(Table2[[#This Row],[Course Title]],Data!$A$1:$E$56,5,FALSE)</f>
        <v>5</v>
      </c>
      <c r="V60" s="206">
        <v>36</v>
      </c>
      <c r="W60" s="207">
        <v>0</v>
      </c>
      <c r="X60" s="206">
        <v>6</v>
      </c>
      <c r="Y60" s="206">
        <v>0</v>
      </c>
      <c r="Z60" s="206">
        <v>0</v>
      </c>
      <c r="AA60" s="208">
        <f ca="1">Table2[[#This Row],[End Date]]+2-TODAY()</f>
        <v>-122</v>
      </c>
      <c r="AB60" s="206">
        <f>IF(ISBLANK(#REF!),1,0)</f>
        <v>0</v>
      </c>
      <c r="AC60" s="206">
        <f ca="1">IF(Table2[[#This Row],[Start Date]]&gt;TODAY(),1,)</f>
        <v>0</v>
      </c>
    </row>
    <row r="61" spans="1:29" s="196" customFormat="1" ht="16.5" customHeight="1">
      <c r="A61" s="198"/>
      <c r="B61" s="198" t="s">
        <v>266</v>
      </c>
      <c r="C61" s="199" t="str">
        <f>VLOOKUP(Table2[[#This Row],[Course Title]],Data!$A$1:$E$56,2,FALSE)</f>
        <v>A-493-0331</v>
      </c>
      <c r="D61" s="199" t="str">
        <f>VLOOKUP(Table2[[#This Row],[Course Title]],Data!$A$1:$E$56,3,FALSE)</f>
        <v>10UG</v>
      </c>
      <c r="E61" s="198" t="s">
        <v>116</v>
      </c>
      <c r="F61" s="201">
        <v>45271</v>
      </c>
      <c r="G61" s="201">
        <v>45273</v>
      </c>
      <c r="H61" s="201"/>
      <c r="I61" s="202">
        <v>0.75</v>
      </c>
      <c r="J61" s="202">
        <v>0.625</v>
      </c>
      <c r="K61" s="202">
        <v>8.3333333333333329E-2</v>
      </c>
      <c r="L61" s="202">
        <v>0</v>
      </c>
      <c r="M61" s="202">
        <v>0.54166666666666663</v>
      </c>
      <c r="N61" s="202">
        <v>0.33333333333333331</v>
      </c>
      <c r="O61" s="213" t="e">
        <v>#REF!</v>
      </c>
      <c r="P61" s="213" t="e">
        <v>#REF!</v>
      </c>
      <c r="Q61" s="214"/>
      <c r="R61" s="215"/>
      <c r="S61" s="215"/>
      <c r="T61" s="206">
        <f>VLOOKUP(Table2[[#This Row],[Course Title]],Data!$A$1:$E$56,4,FALSE)</f>
        <v>40</v>
      </c>
      <c r="U61" s="206">
        <f>VLOOKUP(Table2[[#This Row],[Course Title]],Data!$A$1:$E$56,5,FALSE)</f>
        <v>3</v>
      </c>
      <c r="V61" s="206">
        <v>32</v>
      </c>
      <c r="W61" s="207">
        <v>0</v>
      </c>
      <c r="X61" s="206">
        <v>9</v>
      </c>
      <c r="Y61" s="206">
        <v>0</v>
      </c>
      <c r="Z61" s="206">
        <v>0</v>
      </c>
      <c r="AA61" s="208">
        <f ca="1">Table2[[#This Row],[End Date]]+2-TODAY()</f>
        <v>-124</v>
      </c>
      <c r="AB61" s="206">
        <f>IF(ISBLANK(#REF!),1,0)</f>
        <v>0</v>
      </c>
      <c r="AC61" s="206">
        <f ca="1">IF(Table2[[#This Row],[Start Date]]&gt;TODAY(),1,)</f>
        <v>0</v>
      </c>
    </row>
    <row r="62" spans="1:29" s="211" customFormat="1" ht="14.25" customHeight="1">
      <c r="A62" s="197"/>
      <c r="B62" s="198" t="s">
        <v>34</v>
      </c>
      <c r="C62" s="199" t="str">
        <f>VLOOKUP(Table2[[#This Row],[Course Title]],Data!$A$1:$E$56,2,FALSE)</f>
        <v>A-493-0085</v>
      </c>
      <c r="D62" s="199">
        <f>VLOOKUP(Table2[[#This Row],[Course Title]],Data!$A$1:$E$56,3,FALSE)</f>
        <v>3555</v>
      </c>
      <c r="E62" s="198" t="s">
        <v>116</v>
      </c>
      <c r="F62" s="201">
        <v>45271</v>
      </c>
      <c r="G62" s="201">
        <v>45274</v>
      </c>
      <c r="H62" s="201"/>
      <c r="I62" s="202">
        <v>0.5</v>
      </c>
      <c r="J62" s="202">
        <v>0.375</v>
      </c>
      <c r="K62" s="202">
        <v>0.79166666666666663</v>
      </c>
      <c r="L62" s="202">
        <v>0.70833333333333337</v>
      </c>
      <c r="M62" s="202">
        <v>0.25</v>
      </c>
      <c r="N62" s="202">
        <v>4.1666666666666664E-2</v>
      </c>
      <c r="O62" s="213" t="e">
        <v>#REF!</v>
      </c>
      <c r="P62" s="213" t="e">
        <v>#REF!</v>
      </c>
      <c r="Q62" s="214"/>
      <c r="R62" s="215"/>
      <c r="S62" s="215"/>
      <c r="T62" s="206">
        <f>VLOOKUP(Table2[[#This Row],[Course Title]],Data!$A$1:$E$56,4,FALSE)</f>
        <v>30</v>
      </c>
      <c r="U62" s="206">
        <f>VLOOKUP(Table2[[#This Row],[Course Title]],Data!$A$1:$E$56,5,FALSE)</f>
        <v>4</v>
      </c>
      <c r="V62" s="206">
        <v>28</v>
      </c>
      <c r="W62" s="207">
        <v>2</v>
      </c>
      <c r="X62" s="206">
        <v>2</v>
      </c>
      <c r="Y62" s="206">
        <v>0</v>
      </c>
      <c r="Z62" s="199">
        <v>0</v>
      </c>
      <c r="AA62" s="208">
        <f ca="1">Table2[[#This Row],[End Date]]+2-TODAY()</f>
        <v>-123</v>
      </c>
      <c r="AB62" s="206">
        <f>IF(ISBLANK(#REF!),1,0)</f>
        <v>0</v>
      </c>
      <c r="AC62" s="206">
        <f ca="1">IF(Table2[[#This Row],[Start Date]]&gt;TODAY(),1,)</f>
        <v>0</v>
      </c>
    </row>
    <row r="63" spans="1:29" s="196" customFormat="1" ht="14.25" customHeight="1">
      <c r="A63" s="198"/>
      <c r="B63" s="198" t="s">
        <v>312</v>
      </c>
      <c r="C63" s="199" t="str">
        <f>VLOOKUP(Table2[[#This Row],[Course Title]],Data!$A$1:$E$56,2,FALSE)</f>
        <v>A-493-2098</v>
      </c>
      <c r="D63" s="199" t="str">
        <f>VLOOKUP(Table2[[#This Row],[Course Title]],Data!$A$1:$E$56,3,FALSE)</f>
        <v>09WW</v>
      </c>
      <c r="E63" s="198" t="s">
        <v>116</v>
      </c>
      <c r="F63" s="201">
        <v>45271</v>
      </c>
      <c r="G63" s="201">
        <v>45275</v>
      </c>
      <c r="H63" s="203"/>
      <c r="I63" s="203">
        <v>1.5416666666666665</v>
      </c>
      <c r="J63" s="202">
        <v>0.41666666666666669</v>
      </c>
      <c r="K63" s="202">
        <v>0.875</v>
      </c>
      <c r="L63" s="202">
        <v>0.79166666666666663</v>
      </c>
      <c r="M63" s="202">
        <v>0.33333333333333331</v>
      </c>
      <c r="N63" s="202">
        <v>0.125</v>
      </c>
      <c r="O63" s="207"/>
      <c r="P63" s="204"/>
      <c r="Q63" s="207"/>
      <c r="R63" s="197"/>
      <c r="S63" s="197"/>
      <c r="T63" s="207">
        <v>100</v>
      </c>
      <c r="U63" s="204">
        <v>5</v>
      </c>
      <c r="V63" s="207">
        <v>96</v>
      </c>
      <c r="W63" s="207">
        <v>2</v>
      </c>
      <c r="X63" s="206">
        <v>8</v>
      </c>
      <c r="Y63" s="206">
        <v>5</v>
      </c>
      <c r="Z63" s="206">
        <v>0</v>
      </c>
      <c r="AA63" s="208">
        <f ca="1">Table2[[#This Row],[End Date]]+2-TODAY()</f>
        <v>-122</v>
      </c>
      <c r="AB63" s="206">
        <f>IF(ISBLANK(#REF!),1,0)</f>
        <v>0</v>
      </c>
      <c r="AC63" s="206">
        <f ca="1">IF(Table2[[#This Row],[Start Date]]&gt;TODAY(),1,)</f>
        <v>0</v>
      </c>
    </row>
    <row r="64" spans="1:29" s="196" customFormat="1" ht="14.25" customHeight="1">
      <c r="A64" s="197"/>
      <c r="B64" s="198" t="s">
        <v>276</v>
      </c>
      <c r="C64" s="199" t="str">
        <f>VLOOKUP(Table2[[#This Row],[Course Title]],Data!$A$1:$E$56,2,FALSE)</f>
        <v>A-493-0550</v>
      </c>
      <c r="D64" s="199" t="str">
        <f>VLOOKUP(Table2[[#This Row],[Course Title]],Data!$A$1:$E$56,3,FALSE)</f>
        <v>09K5</v>
      </c>
      <c r="E64" s="198" t="s">
        <v>116</v>
      </c>
      <c r="F64" s="201">
        <v>45278</v>
      </c>
      <c r="G64" s="201">
        <v>45282</v>
      </c>
      <c r="H64" s="201"/>
      <c r="I64" s="202">
        <v>0.29166666666666669</v>
      </c>
      <c r="J64" s="202">
        <v>0.16666666666666666</v>
      </c>
      <c r="K64" s="202">
        <v>0.625</v>
      </c>
      <c r="L64" s="202">
        <v>0.54166666666666663</v>
      </c>
      <c r="M64" s="202">
        <v>8.3333333333333329E-2</v>
      </c>
      <c r="N64" s="202">
        <v>0.875</v>
      </c>
      <c r="O64" s="204" t="e">
        <v>#REF!</v>
      </c>
      <c r="P64" s="204" t="e">
        <v>#REF!</v>
      </c>
      <c r="Q64" s="205"/>
      <c r="R64" s="197"/>
      <c r="S64" s="197"/>
      <c r="T64" s="206">
        <f>VLOOKUP(Table2[[#This Row],[Course Title]],Data!$A$1:$E$56,4,FALSE)</f>
        <v>45</v>
      </c>
      <c r="U64" s="206">
        <f>VLOOKUP(Table2[[#This Row],[Course Title]],Data!$A$1:$E$56,5,FALSE)</f>
        <v>4</v>
      </c>
      <c r="V64" s="206">
        <v>41</v>
      </c>
      <c r="W64" s="207">
        <v>1</v>
      </c>
      <c r="X64" s="206">
        <v>4</v>
      </c>
      <c r="Y64" s="206">
        <v>1</v>
      </c>
      <c r="Z64" s="206">
        <v>0</v>
      </c>
      <c r="AA64" s="208">
        <f ca="1">Table2[[#This Row],[End Date]]+2-TODAY()</f>
        <v>-115</v>
      </c>
      <c r="AB64" s="206">
        <f>IF(ISBLANK(#REF!),1,0)</f>
        <v>0</v>
      </c>
      <c r="AC64" s="206">
        <f ca="1">IF(Table2[[#This Row],[Start Date]]&gt;TODAY(),1,)</f>
        <v>0</v>
      </c>
    </row>
    <row r="65" spans="1:29" s="196" customFormat="1" ht="14.25" customHeight="1">
      <c r="A65" s="197"/>
      <c r="B65" s="198" t="s">
        <v>287</v>
      </c>
      <c r="C65" s="199" t="str">
        <f>VLOOKUP(Table2[[#This Row],[Course Title]],Data!$A$1:$E$56,2,FALSE)</f>
        <v>A-493-0078</v>
      </c>
      <c r="D65" s="199">
        <f>VLOOKUP(Table2[[#This Row],[Course Title]],Data!$A$1:$E$56,3,FALSE)</f>
        <v>1228</v>
      </c>
      <c r="E65" s="198" t="s">
        <v>116</v>
      </c>
      <c r="F65" s="201">
        <v>45278</v>
      </c>
      <c r="G65" s="201">
        <v>45282</v>
      </c>
      <c r="H65" s="201"/>
      <c r="I65" s="202">
        <v>0.33333333333333331</v>
      </c>
      <c r="J65" s="202">
        <v>0.20833333333333334</v>
      </c>
      <c r="K65" s="202">
        <v>0.66666666666666663</v>
      </c>
      <c r="L65" s="202">
        <v>0.58333333333333337</v>
      </c>
      <c r="M65" s="202">
        <v>0.125</v>
      </c>
      <c r="N65" s="202">
        <v>0.91666666666666663</v>
      </c>
      <c r="O65" s="204" t="e">
        <v>#REF!</v>
      </c>
      <c r="P65" s="204" t="e">
        <v>#REF!</v>
      </c>
      <c r="Q65" s="205"/>
      <c r="R65" s="197"/>
      <c r="S65" s="197"/>
      <c r="T65" s="206">
        <f>VLOOKUP(Table2[[#This Row],[Course Title]],Data!$A$1:$E$56,4,FALSE)</f>
        <v>45</v>
      </c>
      <c r="U65" s="206">
        <f>VLOOKUP(Table2[[#This Row],[Course Title]],Data!$A$1:$E$56,5,FALSE)</f>
        <v>5</v>
      </c>
      <c r="V65" s="206">
        <v>38</v>
      </c>
      <c r="W65" s="207">
        <v>0</v>
      </c>
      <c r="X65" s="206">
        <v>3</v>
      </c>
      <c r="Y65" s="206">
        <v>0</v>
      </c>
      <c r="Z65" s="206">
        <v>0</v>
      </c>
      <c r="AA65" s="208">
        <f ca="1">Table2[[#This Row],[End Date]]+2-TODAY()</f>
        <v>-115</v>
      </c>
      <c r="AB65" s="206">
        <f>IF(ISBLANK(#REF!),1,0)</f>
        <v>0</v>
      </c>
      <c r="AC65" s="206">
        <f ca="1">IF(Table2[[#This Row],[Start Date]]&gt;TODAY(),1,)</f>
        <v>0</v>
      </c>
    </row>
    <row r="66" spans="1:29" s="196" customFormat="1" ht="14.25" customHeight="1">
      <c r="A66" s="215" t="s">
        <v>472</v>
      </c>
      <c r="B66" s="198" t="s">
        <v>333</v>
      </c>
      <c r="C66" s="199" t="str">
        <f>VLOOKUP(Table2[[#This Row],[Course Title]],Data!$A$1:$E$56,2,FALSE)</f>
        <v>NA</v>
      </c>
      <c r="D66" s="199" t="str">
        <f>VLOOKUP(Table2[[#This Row],[Course Title]],Data!$A$1:$E$56,3,FALSE)</f>
        <v>NA</v>
      </c>
      <c r="E66" s="198"/>
      <c r="F66" s="201">
        <v>45279</v>
      </c>
      <c r="G66" s="201">
        <v>45279</v>
      </c>
      <c r="H66" s="203">
        <v>0.54166666666666663</v>
      </c>
      <c r="I66" s="203"/>
      <c r="J66" s="201"/>
      <c r="K66" s="201"/>
      <c r="L66" s="201"/>
      <c r="M66" s="201"/>
      <c r="N66" s="201"/>
      <c r="O66" s="204" t="e">
        <v>#REF!</v>
      </c>
      <c r="P66" s="204" t="e">
        <v>#REF!</v>
      </c>
      <c r="Q66" s="205">
        <v>0</v>
      </c>
      <c r="R66" s="197">
        <v>0</v>
      </c>
      <c r="S66" s="197">
        <v>0</v>
      </c>
      <c r="T66" s="206">
        <f>VLOOKUP(Table2[[#This Row],[Course Title]],Data!$A$1:$E$56,4,FALSE)</f>
        <v>0</v>
      </c>
      <c r="U66" s="206">
        <f>VLOOKUP(Table2[[#This Row],[Course Title]],Data!$A$1:$E$56,5,FALSE)</f>
        <v>0</v>
      </c>
      <c r="V66" s="206">
        <v>0</v>
      </c>
      <c r="W66" s="207">
        <v>0</v>
      </c>
      <c r="X66" s="206">
        <v>0</v>
      </c>
      <c r="Y66" s="206">
        <v>0</v>
      </c>
      <c r="Z66" s="206">
        <v>0</v>
      </c>
      <c r="AA66" s="229">
        <f ca="1">Table2[[#This Row],[End Date]]+2-TODAY()</f>
        <v>-118</v>
      </c>
      <c r="AB66" s="228">
        <f>IF(ISBLANK(#REF!),1,0)</f>
        <v>0</v>
      </c>
      <c r="AC66" s="228">
        <f ca="1">IF(Table2[[#This Row],[Start Date]]&gt;TODAY(),1,)</f>
        <v>0</v>
      </c>
    </row>
    <row r="67" spans="1:29" s="196" customFormat="1" ht="14.25" customHeight="1">
      <c r="A67" s="215" t="s">
        <v>473</v>
      </c>
      <c r="B67" s="198" t="s">
        <v>330</v>
      </c>
      <c r="C67" s="199" t="str">
        <f>VLOOKUP(Table2[[#This Row],[Course Title]],Data!$A$1:$E$56,2,FALSE)</f>
        <v>Holiday</v>
      </c>
      <c r="D67" s="199" t="str">
        <f>VLOOKUP(Table2[[#This Row],[Course Title]],Data!$A$1:$E$56,3,FALSE)</f>
        <v>Holiday</v>
      </c>
      <c r="E67" s="198"/>
      <c r="F67" s="201">
        <v>45285</v>
      </c>
      <c r="G67" s="201">
        <v>45285</v>
      </c>
      <c r="H67" s="203">
        <v>0</v>
      </c>
      <c r="I67" s="203">
        <v>0</v>
      </c>
      <c r="J67" s="203">
        <v>0</v>
      </c>
      <c r="K67" s="203">
        <v>0</v>
      </c>
      <c r="L67" s="203">
        <v>0</v>
      </c>
      <c r="M67" s="203">
        <v>0</v>
      </c>
      <c r="N67" s="203">
        <v>0</v>
      </c>
      <c r="O67" s="204" t="e">
        <v>#REF!</v>
      </c>
      <c r="P67" s="204" t="e">
        <v>#REF!</v>
      </c>
      <c r="Q67" s="205">
        <v>0</v>
      </c>
      <c r="R67" s="197">
        <v>0</v>
      </c>
      <c r="S67" s="197">
        <v>0</v>
      </c>
      <c r="T67" s="206">
        <f>VLOOKUP(Table2[[#This Row],[Course Title]],Data!$A$1:$E$56,4,FALSE)</f>
        <v>0</v>
      </c>
      <c r="U67" s="206">
        <f>VLOOKUP(Table2[[#This Row],[Course Title]],Data!$A$1:$E$56,5,FALSE)</f>
        <v>0</v>
      </c>
      <c r="V67" s="206">
        <v>0</v>
      </c>
      <c r="W67" s="207">
        <v>0</v>
      </c>
      <c r="X67" s="206">
        <v>0</v>
      </c>
      <c r="Y67" s="206">
        <v>0</v>
      </c>
      <c r="Z67" s="206">
        <v>0</v>
      </c>
      <c r="AA67" s="229">
        <f ca="1">Table2[[#This Row],[End Date]]+2-TODAY()</f>
        <v>-112</v>
      </c>
      <c r="AB67" s="228">
        <f>IF(ISBLANK(#REF!),1,0)</f>
        <v>0</v>
      </c>
      <c r="AC67" s="228">
        <f ca="1">IF(Table2[[#This Row],[Start Date]]&gt;TODAY(),1,)</f>
        <v>0</v>
      </c>
    </row>
    <row r="68" spans="1:29" s="196" customFormat="1" ht="14.25" customHeight="1">
      <c r="A68" s="224" t="s">
        <v>474</v>
      </c>
      <c r="B68" s="198" t="s">
        <v>330</v>
      </c>
      <c r="C68" s="199" t="str">
        <f>VLOOKUP(Table2[[#This Row],[Course Title]],Data!$A$1:$E$56,2,FALSE)</f>
        <v>Holiday</v>
      </c>
      <c r="D68" s="199" t="str">
        <f>VLOOKUP(Table2[[#This Row],[Course Title]],Data!$A$1:$E$56,3,FALSE)</f>
        <v>Holiday</v>
      </c>
      <c r="E68" s="198"/>
      <c r="F68" s="201">
        <v>45292</v>
      </c>
      <c r="G68" s="201">
        <v>45292</v>
      </c>
      <c r="H68" s="203">
        <v>0</v>
      </c>
      <c r="I68" s="203">
        <v>0</v>
      </c>
      <c r="J68" s="203">
        <v>0</v>
      </c>
      <c r="K68" s="203">
        <v>0</v>
      </c>
      <c r="L68" s="203">
        <v>0</v>
      </c>
      <c r="M68" s="203">
        <v>0</v>
      </c>
      <c r="N68" s="203">
        <v>0</v>
      </c>
      <c r="O68" s="204" t="e">
        <v>#REF!</v>
      </c>
      <c r="P68" s="204" t="e">
        <v>#REF!</v>
      </c>
      <c r="Q68" s="205">
        <v>0</v>
      </c>
      <c r="R68" s="197">
        <v>0</v>
      </c>
      <c r="S68" s="197">
        <v>0</v>
      </c>
      <c r="T68" s="206">
        <f>VLOOKUP(Table2[[#This Row],[Course Title]],Data!$A$1:$E$56,4,FALSE)</f>
        <v>0</v>
      </c>
      <c r="U68" s="206">
        <f>VLOOKUP(Table2[[#This Row],[Course Title]],Data!$A$1:$E$56,5,FALSE)</f>
        <v>0</v>
      </c>
      <c r="V68" s="206">
        <v>0</v>
      </c>
      <c r="W68" s="207">
        <v>0</v>
      </c>
      <c r="X68" s="206">
        <v>0</v>
      </c>
      <c r="Y68" s="206">
        <v>0</v>
      </c>
      <c r="Z68" s="206">
        <v>0</v>
      </c>
      <c r="AA68" s="229">
        <f ca="1">Table2[[#This Row],[End Date]]+2-TODAY()</f>
        <v>-105</v>
      </c>
      <c r="AB68" s="228">
        <f>IF(ISBLANK(#REF!),1,0)</f>
        <v>0</v>
      </c>
      <c r="AC68" s="228">
        <f ca="1">IF(Table2[[#This Row],[Start Date]]&gt;TODAY(),1,)</f>
        <v>0</v>
      </c>
    </row>
    <row r="69" spans="1:29" s="234" customFormat="1" ht="14.25" customHeight="1">
      <c r="A69" s="224"/>
      <c r="B69" s="198" t="s">
        <v>38</v>
      </c>
      <c r="C69" s="199" t="str">
        <f>VLOOKUP(Table2[[#This Row],[Course Title]],Data!$A$1:$E$56,2,FALSE)</f>
        <v>A-493-0072</v>
      </c>
      <c r="D69" s="199" t="str">
        <f>VLOOKUP(Table2[[#This Row],[Course Title]],Data!$A$1:$E$56,3,FALSE)</f>
        <v>713U</v>
      </c>
      <c r="E69" s="198" t="s">
        <v>147</v>
      </c>
      <c r="F69" s="201">
        <v>45293</v>
      </c>
      <c r="G69" s="201">
        <v>45296</v>
      </c>
      <c r="H69" s="210">
        <v>0.33333333333333331</v>
      </c>
      <c r="I69" s="210"/>
      <c r="J69" s="201"/>
      <c r="K69" s="201"/>
      <c r="L69" s="201"/>
      <c r="M69" s="201"/>
      <c r="N69" s="201"/>
      <c r="O69" s="204" t="e">
        <v>#REF!</v>
      </c>
      <c r="P69" s="204" t="e">
        <v>#REF!</v>
      </c>
      <c r="Q69" s="205"/>
      <c r="R69" s="197"/>
      <c r="S69" s="197"/>
      <c r="T69" s="206">
        <f>VLOOKUP(Table2[[#This Row],[Course Title]],Data!$A$1:$E$56,4,FALSE)</f>
        <v>30</v>
      </c>
      <c r="U69" s="206">
        <f>VLOOKUP(Table2[[#This Row],[Course Title]],Data!$A$1:$E$56,5,FALSE)</f>
        <v>4</v>
      </c>
      <c r="V69" s="206">
        <v>20</v>
      </c>
      <c r="W69" s="207">
        <v>0</v>
      </c>
      <c r="X69" s="206">
        <v>8</v>
      </c>
      <c r="Y69" s="206">
        <v>0</v>
      </c>
      <c r="Z69" s="206">
        <v>0</v>
      </c>
      <c r="AA69" s="208">
        <f ca="1">Table2[[#This Row],[End Date]]+2-TODAY()</f>
        <v>-101</v>
      </c>
      <c r="AB69" s="228">
        <f>IF(ISBLANK(#REF!),1,0)</f>
        <v>0</v>
      </c>
      <c r="AC69" s="228">
        <f ca="1">IF(Table2[[#This Row],[Start Date]]&gt;TODAY(),1,)</f>
        <v>0</v>
      </c>
    </row>
    <row r="70" spans="1:29" s="196" customFormat="1" ht="14.25" customHeight="1">
      <c r="A70" s="197"/>
      <c r="B70" s="198" t="s">
        <v>242</v>
      </c>
      <c r="C70" s="199" t="str">
        <f>VLOOKUP(Table2[[#This Row],[Course Title]],Data!$A$1:$E$56,2,FALSE)</f>
        <v>A-493-0061</v>
      </c>
      <c r="D70" s="199" t="str">
        <f>VLOOKUP(Table2[[#This Row],[Course Title]],Data!$A$1:$E$56,3,FALSE)</f>
        <v>288E</v>
      </c>
      <c r="E70" s="198" t="s">
        <v>116</v>
      </c>
      <c r="F70" s="201">
        <v>45299</v>
      </c>
      <c r="G70" s="201">
        <v>45303</v>
      </c>
      <c r="H70" s="201"/>
      <c r="I70" s="202">
        <v>0.29166666666666669</v>
      </c>
      <c r="J70" s="202">
        <v>0.16666666666666666</v>
      </c>
      <c r="K70" s="202">
        <v>0.625</v>
      </c>
      <c r="L70" s="202">
        <v>0.54166666666666663</v>
      </c>
      <c r="M70" s="202">
        <v>8.3333333333333329E-2</v>
      </c>
      <c r="N70" s="202">
        <v>0.875</v>
      </c>
      <c r="O70" s="213" t="e">
        <v>#REF!</v>
      </c>
      <c r="P70" s="213" t="e">
        <v>#REF!</v>
      </c>
      <c r="Q70" s="214"/>
      <c r="R70" s="215"/>
      <c r="S70" s="215"/>
      <c r="T70" s="206">
        <f>VLOOKUP(Table2[[#This Row],[Course Title]],Data!$A$1:$E$56,4,FALSE)</f>
        <v>45</v>
      </c>
      <c r="U70" s="206">
        <f>VLOOKUP(Table2[[#This Row],[Course Title]],Data!$A$1:$E$56,5,FALSE)</f>
        <v>5</v>
      </c>
      <c r="V70" s="206">
        <v>29</v>
      </c>
      <c r="W70" s="207">
        <v>0</v>
      </c>
      <c r="X70" s="206">
        <v>3</v>
      </c>
      <c r="Y70" s="206">
        <v>0</v>
      </c>
      <c r="Z70" s="206">
        <v>0</v>
      </c>
      <c r="AA70" s="208">
        <f ca="1">Table2[[#This Row],[End Date]]+2-TODAY()</f>
        <v>-94</v>
      </c>
      <c r="AB70" s="206">
        <f>IF(ISBLANK(#REF!),1,0)</f>
        <v>0</v>
      </c>
      <c r="AC70" s="206">
        <f ca="1">IF(Table2[[#This Row],[Start Date]]&gt;TODAY(),1,)</f>
        <v>0</v>
      </c>
    </row>
    <row r="71" spans="1:29" s="196" customFormat="1" ht="14.25" customHeight="1">
      <c r="A71" s="197"/>
      <c r="B71" s="198" t="s">
        <v>248</v>
      </c>
      <c r="C71" s="199" t="str">
        <f>VLOOKUP(Table2[[#This Row],[Course Title]],Data!$A$1:$E$56,2,FALSE)</f>
        <v>A-322-2604</v>
      </c>
      <c r="D71" s="199" t="str">
        <f>VLOOKUP(Table2[[#This Row],[Course Title]],Data!$A$1:$E$56,3,FALSE)</f>
        <v>10ZZ</v>
      </c>
      <c r="E71" s="198" t="s">
        <v>116</v>
      </c>
      <c r="F71" s="201">
        <v>45299</v>
      </c>
      <c r="G71" s="201">
        <v>45303</v>
      </c>
      <c r="H71" s="201"/>
      <c r="I71" s="202">
        <v>0.33333333333333331</v>
      </c>
      <c r="J71" s="202">
        <v>0.20833333333333334</v>
      </c>
      <c r="K71" s="202">
        <v>0.66666666666666663</v>
      </c>
      <c r="L71" s="202">
        <v>0.58333333333333337</v>
      </c>
      <c r="M71" s="202">
        <v>0.125</v>
      </c>
      <c r="N71" s="202">
        <v>0.91666666666666663</v>
      </c>
      <c r="O71" s="207" t="e">
        <v>#REF!</v>
      </c>
      <c r="P71" s="204" t="e">
        <v>#REF!</v>
      </c>
      <c r="Q71" s="207"/>
      <c r="R71" s="197"/>
      <c r="S71" s="197"/>
      <c r="T71" s="206">
        <f>VLOOKUP(Table2[[#This Row],[Course Title]],Data!$A$1:$E$56,4,FALSE)</f>
        <v>45</v>
      </c>
      <c r="U71" s="206">
        <f>VLOOKUP(Table2[[#This Row],[Course Title]],Data!$A$1:$E$56,5,FALSE)</f>
        <v>5</v>
      </c>
      <c r="V71" s="206">
        <v>30</v>
      </c>
      <c r="W71" s="207">
        <v>0</v>
      </c>
      <c r="X71" s="206">
        <v>17</v>
      </c>
      <c r="Y71" s="206">
        <v>2</v>
      </c>
      <c r="Z71" s="206">
        <v>0</v>
      </c>
      <c r="AA71" s="208">
        <f ca="1">Table2[[#This Row],[End Date]]+2-TODAY()</f>
        <v>-94</v>
      </c>
      <c r="AB71" s="206">
        <f>IF(ISBLANK(#REF!),1,0)</f>
        <v>0</v>
      </c>
      <c r="AC71" s="206">
        <f ca="1">IF(Table2[[#This Row],[Start Date]]&gt;TODAY(),1,)</f>
        <v>0</v>
      </c>
    </row>
    <row r="72" spans="1:29" s="196" customFormat="1" ht="14.25" customHeight="1">
      <c r="A72" s="197"/>
      <c r="B72" s="198" t="s">
        <v>276</v>
      </c>
      <c r="C72" s="199" t="str">
        <f>VLOOKUP(Table2[[#This Row],[Course Title]],Data!$A$1:$E$56,2,FALSE)</f>
        <v>A-493-0550</v>
      </c>
      <c r="D72" s="199" t="str">
        <f>VLOOKUP(Table2[[#This Row],[Course Title]],Data!$A$1:$E$56,3,FALSE)</f>
        <v>09K5</v>
      </c>
      <c r="E72" s="198" t="s">
        <v>116</v>
      </c>
      <c r="F72" s="201">
        <v>45299</v>
      </c>
      <c r="G72" s="201">
        <v>45303</v>
      </c>
      <c r="H72" s="201"/>
      <c r="I72" s="202">
        <v>0.41666666666666669</v>
      </c>
      <c r="J72" s="202">
        <v>0.29166666666666669</v>
      </c>
      <c r="K72" s="202">
        <v>0.75</v>
      </c>
      <c r="L72" s="202">
        <v>0.66666666666666663</v>
      </c>
      <c r="M72" s="202">
        <v>0.20833333333333334</v>
      </c>
      <c r="N72" s="202">
        <v>0</v>
      </c>
      <c r="O72" s="213" t="e">
        <v>#REF!</v>
      </c>
      <c r="P72" s="213" t="e">
        <v>#REF!</v>
      </c>
      <c r="Q72" s="214"/>
      <c r="R72" s="215"/>
      <c r="S72" s="215"/>
      <c r="T72" s="206">
        <f>VLOOKUP(Table2[[#This Row],[Course Title]],Data!$A$1:$E$56,4,FALSE)</f>
        <v>45</v>
      </c>
      <c r="U72" s="206">
        <f>VLOOKUP(Table2[[#This Row],[Course Title]],Data!$A$1:$E$56,5,FALSE)</f>
        <v>4</v>
      </c>
      <c r="V72" s="206">
        <v>40</v>
      </c>
      <c r="W72" s="207">
        <v>0</v>
      </c>
      <c r="X72" s="206">
        <v>5</v>
      </c>
      <c r="Y72" s="206">
        <v>0</v>
      </c>
      <c r="Z72" s="206">
        <v>0</v>
      </c>
      <c r="AA72" s="208">
        <f ca="1">Table2[[#This Row],[End Date]]+2-TODAY()</f>
        <v>-94</v>
      </c>
      <c r="AB72" s="206">
        <f>IF(ISBLANK(#REF!),1,0)</f>
        <v>0</v>
      </c>
      <c r="AC72" s="206">
        <f ca="1">IF(Table2[[#This Row],[Start Date]]&gt;TODAY(),1,)</f>
        <v>0</v>
      </c>
    </row>
    <row r="73" spans="1:29" s="196" customFormat="1" ht="14.25" customHeight="1">
      <c r="A73" s="197"/>
      <c r="B73" s="198" t="s">
        <v>287</v>
      </c>
      <c r="C73" s="199" t="str">
        <f>VLOOKUP(Table2[[#This Row],[Course Title]],Data!$A$1:$E$56,2,FALSE)</f>
        <v>A-493-0078</v>
      </c>
      <c r="D73" s="199">
        <f>VLOOKUP(Table2[[#This Row],[Course Title]],Data!$A$1:$E$56,3,FALSE)</f>
        <v>1228</v>
      </c>
      <c r="E73" s="198" t="s">
        <v>116</v>
      </c>
      <c r="F73" s="201">
        <v>45299</v>
      </c>
      <c r="G73" s="201">
        <v>45303</v>
      </c>
      <c r="H73" s="201"/>
      <c r="I73" s="202">
        <v>0.29166666666666669</v>
      </c>
      <c r="J73" s="202">
        <v>0.16666666666666666</v>
      </c>
      <c r="K73" s="202">
        <v>0.625</v>
      </c>
      <c r="L73" s="202">
        <v>0.54166666666666663</v>
      </c>
      <c r="M73" s="202">
        <v>8.3333333333333329E-2</v>
      </c>
      <c r="N73" s="202">
        <v>0.875</v>
      </c>
      <c r="O73" s="204" t="e">
        <v>#REF!</v>
      </c>
      <c r="P73" s="204" t="e">
        <v>#REF!</v>
      </c>
      <c r="Q73" s="205"/>
      <c r="R73" s="197"/>
      <c r="S73" s="197"/>
      <c r="T73" s="206">
        <f>VLOOKUP(Table2[[#This Row],[Course Title]],Data!$A$1:$E$56,4,FALSE)</f>
        <v>45</v>
      </c>
      <c r="U73" s="206">
        <f>VLOOKUP(Table2[[#This Row],[Course Title]],Data!$A$1:$E$56,5,FALSE)</f>
        <v>5</v>
      </c>
      <c r="V73" s="206">
        <v>27</v>
      </c>
      <c r="W73" s="207">
        <v>0</v>
      </c>
      <c r="X73" s="206">
        <v>2</v>
      </c>
      <c r="Y73" s="206">
        <v>0</v>
      </c>
      <c r="Z73" s="206">
        <v>0</v>
      </c>
      <c r="AA73" s="208">
        <f ca="1">Table2[[#This Row],[End Date]]+2-TODAY()</f>
        <v>-94</v>
      </c>
      <c r="AB73" s="206">
        <f>IF(ISBLANK(#REF!),1,0)</f>
        <v>0</v>
      </c>
      <c r="AC73" s="206">
        <f ca="1">IF(Table2[[#This Row],[Start Date]]&gt;TODAY(),1,)</f>
        <v>0</v>
      </c>
    </row>
    <row r="74" spans="1:29" s="196" customFormat="1" ht="14.25" customHeight="1">
      <c r="A74" s="197"/>
      <c r="B74" s="198" t="s">
        <v>312</v>
      </c>
      <c r="C74" s="199" t="str">
        <f>VLOOKUP(Table2[[#This Row],[Course Title]],Data!$A$1:$E$56,2,FALSE)</f>
        <v>A-493-2098</v>
      </c>
      <c r="D74" s="199" t="str">
        <f>VLOOKUP(Table2[[#This Row],[Course Title]],Data!$A$1:$E$56,3,FALSE)</f>
        <v>09WW</v>
      </c>
      <c r="E74" s="198" t="s">
        <v>116</v>
      </c>
      <c r="F74" s="201">
        <v>45299</v>
      </c>
      <c r="G74" s="201">
        <v>45303</v>
      </c>
      <c r="H74" s="201"/>
      <c r="I74" s="202">
        <v>0.54166666666666663</v>
      </c>
      <c r="J74" s="202">
        <v>0.41666666666666669</v>
      </c>
      <c r="K74" s="202">
        <v>0.875</v>
      </c>
      <c r="L74" s="202">
        <v>0.79166666666666663</v>
      </c>
      <c r="M74" s="202">
        <v>0.33333333333333331</v>
      </c>
      <c r="N74" s="202">
        <v>0.125</v>
      </c>
      <c r="O74" s="218" t="e">
        <v>#REF!</v>
      </c>
      <c r="P74" s="213" t="e">
        <v>#REF!</v>
      </c>
      <c r="Q74" s="218"/>
      <c r="R74" s="215"/>
      <c r="S74" s="215"/>
      <c r="T74" s="206">
        <f>VLOOKUP(Table2[[#This Row],[Course Title]],Data!$A$1:$E$56,4,FALSE)</f>
        <v>100</v>
      </c>
      <c r="U74" s="206">
        <f>VLOOKUP(Table2[[#This Row],[Course Title]],Data!$A$1:$E$56,5,FALSE)</f>
        <v>5</v>
      </c>
      <c r="V74" s="206">
        <v>85</v>
      </c>
      <c r="W74" s="207">
        <v>1</v>
      </c>
      <c r="X74" s="206">
        <v>16</v>
      </c>
      <c r="Y74" s="206">
        <v>1</v>
      </c>
      <c r="Z74" s="206">
        <v>0</v>
      </c>
      <c r="AA74" s="208">
        <f ca="1">Table2[[#This Row],[End Date]]+2-TODAY()</f>
        <v>-94</v>
      </c>
      <c r="AB74" s="206">
        <f>IF(ISBLANK(#REF!),1,0)</f>
        <v>0</v>
      </c>
      <c r="AC74" s="206">
        <f ca="1">IF(Table2[[#This Row],[Start Date]]&gt;TODAY(),1,)</f>
        <v>0</v>
      </c>
    </row>
    <row r="75" spans="1:29" s="196" customFormat="1" ht="14.25" customHeight="1">
      <c r="A75" s="197"/>
      <c r="B75" s="198" t="s">
        <v>17</v>
      </c>
      <c r="C75" s="199" t="str">
        <f>VLOOKUP(Table2[[#This Row],[Course Title]],Data!$A$1:$E$56,2,FALSE)</f>
        <v>A-493-0012</v>
      </c>
      <c r="D75" s="199">
        <f>VLOOKUP(Table2[[#This Row],[Course Title]],Data!$A$1:$E$56,3,FALSE)</f>
        <v>3682</v>
      </c>
      <c r="E75" s="209" t="s">
        <v>251</v>
      </c>
      <c r="F75" s="200">
        <v>45299</v>
      </c>
      <c r="G75" s="201">
        <v>45303</v>
      </c>
      <c r="H75" s="203">
        <v>0.33333333333333331</v>
      </c>
      <c r="I75" s="203"/>
      <c r="J75" s="201"/>
      <c r="K75" s="201"/>
      <c r="L75" s="201"/>
      <c r="M75" s="201"/>
      <c r="N75" s="201"/>
      <c r="O75" s="218" t="e">
        <v>#REF!</v>
      </c>
      <c r="P75" s="213" t="e">
        <v>#REF!</v>
      </c>
      <c r="Q75" s="218"/>
      <c r="R75" s="215"/>
      <c r="S75" s="215"/>
      <c r="T75" s="206">
        <f>VLOOKUP(Table2[[#This Row],[Course Title]],Data!$A$1:$E$56,4,FALSE)</f>
        <v>40</v>
      </c>
      <c r="U75" s="206">
        <f>VLOOKUP(Table2[[#This Row],[Course Title]],Data!$A$1:$E$56,5,FALSE)</f>
        <v>5</v>
      </c>
      <c r="V75" s="206">
        <v>23</v>
      </c>
      <c r="W75" s="207">
        <v>0</v>
      </c>
      <c r="X75" s="206">
        <v>1</v>
      </c>
      <c r="Y75" s="206">
        <v>3</v>
      </c>
      <c r="Z75" s="206">
        <v>9</v>
      </c>
      <c r="AA75" s="208">
        <f ca="1">Table2[[#This Row],[End Date]]+2-TODAY()</f>
        <v>-94</v>
      </c>
      <c r="AB75" s="206">
        <f>IF(ISBLANK(#REF!),1,0)</f>
        <v>0</v>
      </c>
      <c r="AC75" s="206">
        <f ca="1">IF(Table2[[#This Row],[Start Date]]&gt;TODAY(),1,)</f>
        <v>0</v>
      </c>
    </row>
    <row r="76" spans="1:29" s="196" customFormat="1" ht="16.5" customHeight="1">
      <c r="A76" s="197"/>
      <c r="B76" s="198" t="s">
        <v>38</v>
      </c>
      <c r="C76" s="199" t="str">
        <f>VLOOKUP(Table2[[#This Row],[Course Title]],Data!$A$1:$E$56,2,FALSE)</f>
        <v>A-493-0072</v>
      </c>
      <c r="D76" s="199" t="str">
        <f>VLOOKUP(Table2[[#This Row],[Course Title]],Data!$A$1:$E$56,3,FALSE)</f>
        <v>713U</v>
      </c>
      <c r="E76" s="198" t="s">
        <v>109</v>
      </c>
      <c r="F76" s="201">
        <v>45299</v>
      </c>
      <c r="G76" s="201">
        <v>45302</v>
      </c>
      <c r="H76" s="210">
        <v>0.33333333333333331</v>
      </c>
      <c r="I76" s="210"/>
      <c r="J76" s="201"/>
      <c r="K76" s="201"/>
      <c r="L76" s="201"/>
      <c r="M76" s="201"/>
      <c r="N76" s="201"/>
      <c r="O76" s="213" t="e">
        <v>#REF!</v>
      </c>
      <c r="P76" s="213" t="e">
        <v>#REF!</v>
      </c>
      <c r="Q76" s="213"/>
      <c r="R76" s="215"/>
      <c r="S76" s="215"/>
      <c r="T76" s="206">
        <f>VLOOKUP(Table2[[#This Row],[Course Title]],Data!$A$1:$E$56,4,FALSE)</f>
        <v>30</v>
      </c>
      <c r="U76" s="206">
        <f>VLOOKUP(Table2[[#This Row],[Course Title]],Data!$A$1:$E$56,5,FALSE)</f>
        <v>4</v>
      </c>
      <c r="V76" s="206">
        <v>28</v>
      </c>
      <c r="W76" s="207">
        <v>0</v>
      </c>
      <c r="X76" s="206">
        <v>6</v>
      </c>
      <c r="Y76" s="206">
        <v>4</v>
      </c>
      <c r="Z76" s="222">
        <v>0</v>
      </c>
      <c r="AA76" s="208">
        <f ca="1">Table2[[#This Row],[End Date]]+2-TODAY()</f>
        <v>-95</v>
      </c>
      <c r="AB76" s="206">
        <f>IF(ISBLANK(#REF!),1,0)</f>
        <v>0</v>
      </c>
      <c r="AC76" s="206">
        <f ca="1">IF(Table2[[#This Row],[Start Date]]&gt;TODAY(),1,)</f>
        <v>0</v>
      </c>
    </row>
    <row r="77" spans="1:29" s="196" customFormat="1" ht="16.5" customHeight="1">
      <c r="A77" s="197"/>
      <c r="B77" s="198" t="s">
        <v>19</v>
      </c>
      <c r="C77" s="199" t="str">
        <f>VLOOKUP(Table2[[#This Row],[Course Title]],Data!$A$1:$E$56,2,FALSE)</f>
        <v>A-493-0099</v>
      </c>
      <c r="D77" s="199" t="str">
        <f>VLOOKUP(Table2[[#This Row],[Course Title]],Data!$A$1:$E$56,3,FALSE)</f>
        <v>12JW</v>
      </c>
      <c r="E77" s="198" t="s">
        <v>116</v>
      </c>
      <c r="F77" s="201">
        <v>45300</v>
      </c>
      <c r="G77" s="201">
        <v>45302</v>
      </c>
      <c r="H77" s="201"/>
      <c r="I77" s="202">
        <v>0.41666666666666669</v>
      </c>
      <c r="J77" s="202">
        <v>0.29166666666666669</v>
      </c>
      <c r="K77" s="202">
        <v>0.75</v>
      </c>
      <c r="L77" s="202">
        <v>0.66666666666666663</v>
      </c>
      <c r="M77" s="202">
        <v>0.20833333333333334</v>
      </c>
      <c r="N77" s="202">
        <v>0</v>
      </c>
      <c r="O77" s="213" t="e">
        <v>#REF!</v>
      </c>
      <c r="P77" s="213" t="e">
        <v>#REF!</v>
      </c>
      <c r="Q77" s="214"/>
      <c r="R77" s="215"/>
      <c r="S77" s="215"/>
      <c r="T77" s="206">
        <f>VLOOKUP(Table2[[#This Row],[Course Title]],Data!$A$1:$E$56,4,FALSE)</f>
        <v>45</v>
      </c>
      <c r="U77" s="206">
        <f>VLOOKUP(Table2[[#This Row],[Course Title]],Data!$A$1:$E$56,5,FALSE)</f>
        <v>3</v>
      </c>
      <c r="V77" s="206">
        <v>32</v>
      </c>
      <c r="W77" s="207">
        <v>0</v>
      </c>
      <c r="X77" s="206">
        <v>13</v>
      </c>
      <c r="Y77" s="206">
        <v>0</v>
      </c>
      <c r="Z77" s="206">
        <v>0</v>
      </c>
      <c r="AA77" s="208">
        <f ca="1">Table2[[#This Row],[End Date]]+2-TODAY()</f>
        <v>-95</v>
      </c>
      <c r="AB77" s="206">
        <f>IF(ISBLANK(#REF!),1,0)</f>
        <v>0</v>
      </c>
      <c r="AC77" s="206">
        <f ca="1">IF(Table2[[#This Row],[Start Date]]&gt;TODAY(),1,)</f>
        <v>0</v>
      </c>
    </row>
    <row r="78" spans="1:29" s="196" customFormat="1" ht="14.25" customHeight="1">
      <c r="A78" s="197"/>
      <c r="B78" s="198" t="s">
        <v>266</v>
      </c>
      <c r="C78" s="199" t="str">
        <f>VLOOKUP(Table2[[#This Row],[Course Title]],Data!$A$1:$E$56,2,FALSE)</f>
        <v>A-493-0331</v>
      </c>
      <c r="D78" s="199" t="str">
        <f>VLOOKUP(Table2[[#This Row],[Course Title]],Data!$A$1:$E$56,3,FALSE)</f>
        <v>10UG</v>
      </c>
      <c r="E78" s="235" t="s">
        <v>116</v>
      </c>
      <c r="F78" s="201">
        <v>45300</v>
      </c>
      <c r="G78" s="201">
        <v>45302</v>
      </c>
      <c r="H78" s="201"/>
      <c r="I78" s="202">
        <v>0.5</v>
      </c>
      <c r="J78" s="202">
        <v>0.375</v>
      </c>
      <c r="K78" s="202">
        <v>0.83333333333333337</v>
      </c>
      <c r="L78" s="202">
        <v>0.75</v>
      </c>
      <c r="M78" s="202">
        <v>0.29166666666666669</v>
      </c>
      <c r="N78" s="202">
        <v>8.3333333333333329E-2</v>
      </c>
      <c r="O78" s="213" t="e">
        <v>#REF!</v>
      </c>
      <c r="P78" s="213" t="e">
        <v>#REF!</v>
      </c>
      <c r="Q78" s="213"/>
      <c r="R78" s="215"/>
      <c r="S78" s="215"/>
      <c r="T78" s="206">
        <f>VLOOKUP(Table2[[#This Row],[Course Title]],Data!$A$1:$E$56,4,FALSE)</f>
        <v>40</v>
      </c>
      <c r="U78" s="206">
        <f>VLOOKUP(Table2[[#This Row],[Course Title]],Data!$A$1:$E$56,5,FALSE)</f>
        <v>3</v>
      </c>
      <c r="V78" s="206">
        <v>41</v>
      </c>
      <c r="W78" s="207">
        <v>1</v>
      </c>
      <c r="X78" s="206">
        <v>4</v>
      </c>
      <c r="Y78" s="206">
        <v>3</v>
      </c>
      <c r="Z78" s="206">
        <v>0</v>
      </c>
      <c r="AA78" s="208">
        <f ca="1">Table2[[#This Row],[End Date]]+2-TODAY()</f>
        <v>-95</v>
      </c>
      <c r="AB78" s="206">
        <f>IF(ISBLANK(#REF!),1,0)</f>
        <v>0</v>
      </c>
      <c r="AC78" s="206">
        <f ca="1">IF(Table2[[#This Row],[Start Date]]&gt;TODAY(),1,)</f>
        <v>0</v>
      </c>
    </row>
    <row r="79" spans="1:29" s="196" customFormat="1" ht="14.25" customHeight="1">
      <c r="A79" s="197"/>
      <c r="B79" s="198" t="s">
        <v>26</v>
      </c>
      <c r="C79" s="199" t="str">
        <f>VLOOKUP(Table2[[#This Row],[Course Title]],Data!$A$1:$E$56,2,FALSE)</f>
        <v>A-493-2301</v>
      </c>
      <c r="D79" s="199" t="str">
        <f>VLOOKUP(Table2[[#This Row],[Course Title]],Data!$A$1:$E$56,3,FALSE)</f>
        <v>05ZD</v>
      </c>
      <c r="E79" s="209" t="s">
        <v>156</v>
      </c>
      <c r="F79" s="201">
        <v>45302</v>
      </c>
      <c r="G79" s="201">
        <v>45302</v>
      </c>
      <c r="H79" s="203">
        <v>0.33333333333333331</v>
      </c>
      <c r="I79" s="203"/>
      <c r="J79" s="201"/>
      <c r="K79" s="201"/>
      <c r="L79" s="201"/>
      <c r="M79" s="201"/>
      <c r="N79" s="201"/>
      <c r="O79" s="207" t="e">
        <v>#REF!</v>
      </c>
      <c r="P79" s="204" t="e">
        <v>#REF!</v>
      </c>
      <c r="Q79" s="207"/>
      <c r="R79" s="197"/>
      <c r="S79" s="197"/>
      <c r="T79" s="206">
        <f>VLOOKUP(Table2[[#This Row],[Course Title]],Data!$A$1:$E$56,4,FALSE)</f>
        <v>30</v>
      </c>
      <c r="U79" s="206">
        <f>VLOOKUP(Table2[[#This Row],[Course Title]],Data!$A$1:$E$56,5,FALSE)</f>
        <v>1</v>
      </c>
      <c r="V79" s="206">
        <v>30</v>
      </c>
      <c r="W79" s="207">
        <v>0</v>
      </c>
      <c r="X79" s="206">
        <v>7</v>
      </c>
      <c r="Y79" s="206">
        <v>6</v>
      </c>
      <c r="Z79" s="206">
        <v>8</v>
      </c>
      <c r="AA79" s="208">
        <f ca="1">Table2[[#This Row],[End Date]]+2-TODAY()</f>
        <v>-95</v>
      </c>
      <c r="AB79" s="206">
        <f>IF(ISBLANK(#REF!),1,0)</f>
        <v>0</v>
      </c>
      <c r="AC79" s="206">
        <f ca="1">IF(Table2[[#This Row],[Start Date]]&gt;TODAY(),1,)</f>
        <v>0</v>
      </c>
    </row>
    <row r="80" spans="1:29" s="196" customFormat="1" ht="14.25" customHeight="1">
      <c r="A80" s="197"/>
      <c r="B80" s="198" t="s">
        <v>35</v>
      </c>
      <c r="C80" s="199" t="str">
        <f>VLOOKUP(Table2[[#This Row],[Course Title]],Data!$A$1:$E$56,2,FALSE)</f>
        <v>A-493-2501</v>
      </c>
      <c r="D80" s="199" t="str">
        <f>VLOOKUP(Table2[[#This Row],[Course Title]],Data!$A$1:$E$56,3,FALSE)</f>
        <v>05ZE</v>
      </c>
      <c r="E80" s="209" t="s">
        <v>156</v>
      </c>
      <c r="F80" s="201">
        <v>45303</v>
      </c>
      <c r="G80" s="201">
        <v>45303</v>
      </c>
      <c r="H80" s="203">
        <v>0.33333333333333331</v>
      </c>
      <c r="I80" s="203"/>
      <c r="J80" s="201"/>
      <c r="K80" s="201"/>
      <c r="L80" s="201"/>
      <c r="M80" s="201"/>
      <c r="N80" s="201"/>
      <c r="O80" s="218" t="e">
        <v>#REF!</v>
      </c>
      <c r="P80" s="213" t="e">
        <v>#REF!</v>
      </c>
      <c r="Q80" s="218"/>
      <c r="R80" s="215"/>
      <c r="S80" s="215"/>
      <c r="T80" s="206">
        <f>VLOOKUP(Table2[[#This Row],[Course Title]],Data!$A$1:$E$56,4,FALSE)</f>
        <v>30</v>
      </c>
      <c r="U80" s="206">
        <f>VLOOKUP(Table2[[#This Row],[Course Title]],Data!$A$1:$E$56,5,FALSE)</f>
        <v>1</v>
      </c>
      <c r="V80" s="206">
        <v>30</v>
      </c>
      <c r="W80" s="207">
        <v>0</v>
      </c>
      <c r="X80" s="206">
        <v>7</v>
      </c>
      <c r="Y80" s="206">
        <v>6</v>
      </c>
      <c r="Z80" s="206">
        <v>8</v>
      </c>
      <c r="AA80" s="208">
        <f ca="1">Table2[[#This Row],[End Date]]+2-TODAY()</f>
        <v>-94</v>
      </c>
      <c r="AB80" s="206">
        <f>IF(ISBLANK(#REF!),1,0)</f>
        <v>0</v>
      </c>
      <c r="AC80" s="206">
        <f ca="1">IF(Table2[[#This Row],[Start Date]]&gt;TODAY(),1,)</f>
        <v>0</v>
      </c>
    </row>
    <row r="81" spans="1:29" s="196" customFormat="1" ht="14.25" customHeight="1">
      <c r="A81" s="197" t="s">
        <v>475</v>
      </c>
      <c r="B81" s="198" t="s">
        <v>17</v>
      </c>
      <c r="C81" s="199" t="str">
        <f>VLOOKUP(Table2[[#This Row],[Course Title]],Data!$A$1:$E$56,2,FALSE)</f>
        <v>A-493-0012</v>
      </c>
      <c r="D81" s="199">
        <f>VLOOKUP(Table2[[#This Row],[Course Title]],Data!$A$1:$E$56,3,FALSE)</f>
        <v>3682</v>
      </c>
      <c r="E81" s="209" t="s">
        <v>147</v>
      </c>
      <c r="F81" s="200">
        <v>45306</v>
      </c>
      <c r="G81" s="201">
        <v>45310</v>
      </c>
      <c r="H81" s="203">
        <v>0.33333333333333331</v>
      </c>
      <c r="I81" s="203"/>
      <c r="J81" s="201"/>
      <c r="K81" s="201"/>
      <c r="L81" s="201"/>
      <c r="M81" s="201"/>
      <c r="N81" s="201"/>
      <c r="O81" s="207" t="e">
        <v>#REF!</v>
      </c>
      <c r="P81" s="204" t="e">
        <v>#REF!</v>
      </c>
      <c r="Q81" s="207"/>
      <c r="R81" s="197"/>
      <c r="S81" s="197"/>
      <c r="T81" s="206">
        <f>VLOOKUP(Table2[[#This Row],[Course Title]],Data!$A$1:$E$56,4,FALSE)</f>
        <v>40</v>
      </c>
      <c r="U81" s="206">
        <f>VLOOKUP(Table2[[#This Row],[Course Title]],Data!$A$1:$E$56,5,FALSE)</f>
        <v>5</v>
      </c>
      <c r="V81" s="206">
        <v>30</v>
      </c>
      <c r="W81" s="207">
        <v>2</v>
      </c>
      <c r="X81" s="206">
        <v>0</v>
      </c>
      <c r="Y81" s="206">
        <v>5</v>
      </c>
      <c r="Z81" s="206">
        <v>0</v>
      </c>
      <c r="AA81" s="208">
        <f ca="1">Table2[[#This Row],[End Date]]+2-TODAY()</f>
        <v>-87</v>
      </c>
      <c r="AB81" s="206">
        <f>IF(ISBLANK(#REF!),1,0)</f>
        <v>0</v>
      </c>
      <c r="AC81" s="206">
        <f ca="1">IF(Table2[[#This Row],[Start Date]]&gt;TODAY(),1,)</f>
        <v>0</v>
      </c>
    </row>
    <row r="82" spans="1:29" s="230" customFormat="1" ht="14.25" customHeight="1">
      <c r="A82" s="224" t="s">
        <v>476</v>
      </c>
      <c r="B82" s="224" t="s">
        <v>330</v>
      </c>
      <c r="C82" s="225" t="str">
        <f>VLOOKUP(Table2[[#This Row],[Course Title]],Data!$A$1:$E$56,2,FALSE)</f>
        <v>Holiday</v>
      </c>
      <c r="D82" s="225" t="str">
        <f>VLOOKUP(Table2[[#This Row],[Course Title]],Data!$A$1:$E$56,3,FALSE)</f>
        <v>Holiday</v>
      </c>
      <c r="E82" s="224"/>
      <c r="F82" s="226">
        <v>45306</v>
      </c>
      <c r="G82" s="226">
        <v>45306</v>
      </c>
      <c r="H82" s="227">
        <v>0</v>
      </c>
      <c r="I82" s="227">
        <v>0</v>
      </c>
      <c r="J82" s="227">
        <v>0</v>
      </c>
      <c r="K82" s="227">
        <v>0</v>
      </c>
      <c r="L82" s="227">
        <v>0</v>
      </c>
      <c r="M82" s="227">
        <v>0</v>
      </c>
      <c r="N82" s="227">
        <v>0</v>
      </c>
      <c r="O82" s="213" t="e">
        <v>#REF!</v>
      </c>
      <c r="P82" s="213" t="e">
        <v>#REF!</v>
      </c>
      <c r="Q82" s="214">
        <v>0</v>
      </c>
      <c r="R82" s="215">
        <v>0</v>
      </c>
      <c r="S82" s="215">
        <v>0</v>
      </c>
      <c r="T82" s="228">
        <f>VLOOKUP(Table2[[#This Row],[Course Title]],Data!$A$1:$E$56,4,FALSE)</f>
        <v>0</v>
      </c>
      <c r="U82" s="228">
        <f>VLOOKUP(Table2[[#This Row],[Course Title]],Data!$A$1:$E$56,5,FALSE)</f>
        <v>0</v>
      </c>
      <c r="V82" s="228">
        <v>0</v>
      </c>
      <c r="W82" s="218">
        <v>0</v>
      </c>
      <c r="X82" s="228">
        <v>0</v>
      </c>
      <c r="Y82" s="228">
        <v>0</v>
      </c>
      <c r="Z82" s="228">
        <v>0</v>
      </c>
      <c r="AA82" s="229">
        <f ca="1">Table2[[#This Row],[End Date]]+2-TODAY()</f>
        <v>-91</v>
      </c>
      <c r="AB82" s="228">
        <f>IF(ISBLANK(#REF!),1,0)</f>
        <v>0</v>
      </c>
      <c r="AC82" s="228">
        <f ca="1">IF(Table2[[#This Row],[Start Date]]&gt;TODAY(),1,)</f>
        <v>0</v>
      </c>
    </row>
    <row r="83" spans="1:29" s="196" customFormat="1" ht="14.25" customHeight="1">
      <c r="A83" s="197"/>
      <c r="B83" s="198" t="s">
        <v>215</v>
      </c>
      <c r="C83" s="199" t="str">
        <f>VLOOKUP(Table2[[#This Row],[Course Title]],Data!$A$1:$E$56,2,FALSE)</f>
        <v>A-493-0665</v>
      </c>
      <c r="D83" s="199" t="str">
        <f>VLOOKUP(Table2[[#This Row],[Course Title]],Data!$A$1:$E$56,3,FALSE)</f>
        <v>10KW</v>
      </c>
      <c r="E83" s="198" t="s">
        <v>116</v>
      </c>
      <c r="F83" s="201">
        <v>45307</v>
      </c>
      <c r="G83" s="201">
        <v>45310</v>
      </c>
      <c r="H83" s="201"/>
      <c r="I83" s="202">
        <v>0.79166666666666663</v>
      </c>
      <c r="J83" s="202">
        <v>0.66666666666666663</v>
      </c>
      <c r="K83" s="202">
        <v>8.3333333333333329E-2</v>
      </c>
      <c r="L83" s="202">
        <v>0</v>
      </c>
      <c r="M83" s="202">
        <v>0.54166666666666663</v>
      </c>
      <c r="N83" s="202">
        <v>0.33333333333333331</v>
      </c>
      <c r="O83" s="218" t="e">
        <v>#REF!</v>
      </c>
      <c r="P83" s="213" t="e">
        <v>#REF!</v>
      </c>
      <c r="Q83" s="218"/>
      <c r="R83" s="215"/>
      <c r="S83" s="215"/>
      <c r="T83" s="206">
        <f>VLOOKUP(Table2[[#This Row],[Course Title]],Data!$A$1:$E$56,4,FALSE)</f>
        <v>45</v>
      </c>
      <c r="U83" s="206">
        <f>VLOOKUP(Table2[[#This Row],[Course Title]],Data!$A$1:$E$56,5,FALSE)</f>
        <v>5</v>
      </c>
      <c r="V83" s="206">
        <v>37</v>
      </c>
      <c r="W83" s="207">
        <v>4</v>
      </c>
      <c r="X83" s="206">
        <v>5</v>
      </c>
      <c r="Y83" s="206">
        <v>1</v>
      </c>
      <c r="Z83" s="206">
        <v>0</v>
      </c>
      <c r="AA83" s="208">
        <f ca="1">Table2[[#This Row],[End Date]]+2-TODAY()</f>
        <v>-87</v>
      </c>
      <c r="AB83" s="206">
        <f>IF(ISBLANK(#REF!),1,0)</f>
        <v>0</v>
      </c>
      <c r="AC83" s="206">
        <f ca="1">IF(Table2[[#This Row],[Start Date]]&gt;TODAY(),1,)</f>
        <v>0</v>
      </c>
    </row>
    <row r="84" spans="1:29" s="196" customFormat="1" ht="14.25" customHeight="1">
      <c r="A84" s="197"/>
      <c r="B84" s="198" t="s">
        <v>284</v>
      </c>
      <c r="C84" s="199" t="str">
        <f>VLOOKUP(Table2[[#This Row],[Course Title]],Data!$A$1:$E$56,2,FALSE)</f>
        <v>A-493-0073</v>
      </c>
      <c r="D84" s="199" t="str">
        <f>VLOOKUP(Table2[[#This Row],[Course Title]],Data!$A$1:$E$56,3,FALSE)</f>
        <v>714S</v>
      </c>
      <c r="E84" s="198" t="s">
        <v>116</v>
      </c>
      <c r="F84" s="201">
        <v>45307</v>
      </c>
      <c r="G84" s="201">
        <v>45310</v>
      </c>
      <c r="H84" s="201"/>
      <c r="I84" s="202">
        <v>0.41666666666666669</v>
      </c>
      <c r="J84" s="202">
        <v>0.29166666666666669</v>
      </c>
      <c r="K84" s="202">
        <v>0.75</v>
      </c>
      <c r="L84" s="202">
        <v>0.66666666666666663</v>
      </c>
      <c r="M84" s="202">
        <v>0.20833333333333334</v>
      </c>
      <c r="N84" s="202">
        <v>0</v>
      </c>
      <c r="O84" s="213" t="e">
        <v>#REF!</v>
      </c>
      <c r="P84" s="213" t="e">
        <v>#REF!</v>
      </c>
      <c r="Q84" s="233"/>
      <c r="R84" s="215"/>
      <c r="S84" s="224"/>
      <c r="T84" s="206">
        <f>VLOOKUP(Table2[[#This Row],[Course Title]],Data!$A$1:$E$56,4,FALSE)</f>
        <v>30</v>
      </c>
      <c r="U84" s="206">
        <f>VLOOKUP(Table2[[#This Row],[Course Title]],Data!$A$1:$E$56,5,FALSE)</f>
        <v>4</v>
      </c>
      <c r="V84" s="206">
        <v>26</v>
      </c>
      <c r="W84" s="207">
        <v>0</v>
      </c>
      <c r="X84" s="206">
        <v>4</v>
      </c>
      <c r="Y84" s="206">
        <v>0</v>
      </c>
      <c r="Z84" s="206">
        <v>0</v>
      </c>
      <c r="AA84" s="208">
        <f ca="1">Table2[[#This Row],[End Date]]+2-TODAY()</f>
        <v>-87</v>
      </c>
      <c r="AB84" s="206">
        <f>IF(ISBLANK(#REF!),1,0)</f>
        <v>0</v>
      </c>
      <c r="AC84" s="206">
        <f ca="1">IF(Table2[[#This Row],[Start Date]]&gt;TODAY(),1,)</f>
        <v>0</v>
      </c>
    </row>
    <row r="85" spans="1:29" s="196" customFormat="1" ht="14.25" customHeight="1">
      <c r="A85" s="197"/>
      <c r="B85" s="198" t="s">
        <v>34</v>
      </c>
      <c r="C85" s="199" t="str">
        <f>VLOOKUP(Table2[[#This Row],[Course Title]],Data!$A$1:$E$56,2,FALSE)</f>
        <v>A-493-0085</v>
      </c>
      <c r="D85" s="199">
        <f>VLOOKUP(Table2[[#This Row],[Course Title]],Data!$A$1:$E$56,3,FALSE)</f>
        <v>3555</v>
      </c>
      <c r="E85" s="198" t="s">
        <v>116</v>
      </c>
      <c r="F85" s="201">
        <v>45307</v>
      </c>
      <c r="G85" s="201">
        <v>45310</v>
      </c>
      <c r="H85" s="201"/>
      <c r="I85" s="202">
        <v>0.79166666666666663</v>
      </c>
      <c r="J85" s="202">
        <v>0.66666666666666663</v>
      </c>
      <c r="K85" s="202">
        <v>8.3333333333333329E-2</v>
      </c>
      <c r="L85" s="202">
        <v>0</v>
      </c>
      <c r="M85" s="202">
        <v>0.54166666666666663</v>
      </c>
      <c r="N85" s="202">
        <v>0.33333333333333331</v>
      </c>
      <c r="O85" s="213" t="e">
        <v>#REF!</v>
      </c>
      <c r="P85" s="213" t="e">
        <v>#REF!</v>
      </c>
      <c r="Q85" s="213"/>
      <c r="R85" s="215"/>
      <c r="S85" s="215"/>
      <c r="T85" s="206">
        <f>VLOOKUP(Table2[[#This Row],[Course Title]],Data!$A$1:$E$56,4,FALSE)</f>
        <v>30</v>
      </c>
      <c r="U85" s="206">
        <f>VLOOKUP(Table2[[#This Row],[Course Title]],Data!$A$1:$E$56,5,FALSE)</f>
        <v>4</v>
      </c>
      <c r="V85" s="206">
        <v>25</v>
      </c>
      <c r="W85" s="207">
        <v>0</v>
      </c>
      <c r="X85" s="206">
        <v>4</v>
      </c>
      <c r="Y85" s="206">
        <v>0</v>
      </c>
      <c r="Z85" s="206">
        <v>0</v>
      </c>
      <c r="AA85" s="208">
        <f ca="1">Table2[[#This Row],[End Date]]+2-TODAY()</f>
        <v>-87</v>
      </c>
      <c r="AB85" s="206">
        <f>IF(ISBLANK(#REF!),1,0)</f>
        <v>0</v>
      </c>
      <c r="AC85" s="206">
        <f ca="1">IF(Table2[[#This Row],[Start Date]]&gt;TODAY(),1,)</f>
        <v>0</v>
      </c>
    </row>
    <row r="86" spans="1:29" s="196" customFormat="1" ht="14.25" customHeight="1">
      <c r="A86" s="197"/>
      <c r="B86" s="198" t="s">
        <v>312</v>
      </c>
      <c r="C86" s="199" t="str">
        <f>VLOOKUP(Table2[[#This Row],[Course Title]],Data!$A$1:$E$56,2,FALSE)</f>
        <v>A-493-2098</v>
      </c>
      <c r="D86" s="199" t="str">
        <f>VLOOKUP(Table2[[#This Row],[Course Title]],Data!$A$1:$E$56,3,FALSE)</f>
        <v>09WW</v>
      </c>
      <c r="E86" s="198" t="s">
        <v>116</v>
      </c>
      <c r="F86" s="201">
        <v>45307</v>
      </c>
      <c r="G86" s="201">
        <v>45310</v>
      </c>
      <c r="H86" s="201"/>
      <c r="I86" s="202">
        <v>0.54166666666666663</v>
      </c>
      <c r="J86" s="202">
        <v>0.41666666666666669</v>
      </c>
      <c r="K86" s="202">
        <v>0.875</v>
      </c>
      <c r="L86" s="202">
        <v>0.79166666666666663</v>
      </c>
      <c r="M86" s="202">
        <v>0.33333333333333331</v>
      </c>
      <c r="N86" s="202">
        <v>0.125</v>
      </c>
      <c r="O86" s="218" t="e">
        <v>#REF!</v>
      </c>
      <c r="P86" s="213" t="e">
        <v>#REF!</v>
      </c>
      <c r="Q86" s="218"/>
      <c r="R86" s="215"/>
      <c r="S86" s="215"/>
      <c r="T86" s="206">
        <f>VLOOKUP(Table2[[#This Row],[Course Title]],Data!$A$1:$E$56,4,FALSE)</f>
        <v>100</v>
      </c>
      <c r="U86" s="206">
        <f>VLOOKUP(Table2[[#This Row],[Course Title]],Data!$A$1:$E$56,5,FALSE)</f>
        <v>5</v>
      </c>
      <c r="V86" s="206">
        <v>75</v>
      </c>
      <c r="W86" s="207">
        <v>6</v>
      </c>
      <c r="X86" s="206">
        <v>22</v>
      </c>
      <c r="Y86" s="206">
        <v>1</v>
      </c>
      <c r="Z86" s="206">
        <v>0</v>
      </c>
      <c r="AA86" s="208">
        <f ca="1">Table2[[#This Row],[End Date]]+2-TODAY()</f>
        <v>-87</v>
      </c>
      <c r="AB86" s="206">
        <f>IF(ISBLANK(#REF!),1,0)</f>
        <v>0</v>
      </c>
      <c r="AC86" s="206">
        <f ca="1">IF(Table2[[#This Row],[Start Date]]&gt;TODAY(),1,)</f>
        <v>0</v>
      </c>
    </row>
    <row r="87" spans="1:29" s="211" customFormat="1" ht="14.25" customHeight="1">
      <c r="A87" s="198"/>
      <c r="B87" s="198" t="s">
        <v>28</v>
      </c>
      <c r="C87" s="199" t="str">
        <f>VLOOKUP(Table2[[#This Row],[Course Title]],Data!$A$1:$E$56,2,FALSE)</f>
        <v>A-493-0092</v>
      </c>
      <c r="D87" s="199">
        <f>VLOOKUP(Table2[[#This Row],[Course Title]],Data!$A$1:$E$56,3,FALSE)</f>
        <v>5891</v>
      </c>
      <c r="E87" s="209" t="s">
        <v>140</v>
      </c>
      <c r="F87" s="201">
        <v>45308</v>
      </c>
      <c r="G87" s="201">
        <v>45310</v>
      </c>
      <c r="H87" s="203">
        <v>0.33333333333333331</v>
      </c>
      <c r="I87" s="203"/>
      <c r="J87" s="201"/>
      <c r="K87" s="201"/>
      <c r="L87" s="201"/>
      <c r="M87" s="201"/>
      <c r="N87" s="201"/>
      <c r="O87" s="204" t="e">
        <v>#REF!</v>
      </c>
      <c r="P87" s="204" t="e">
        <v>#REF!</v>
      </c>
      <c r="Q87" s="205"/>
      <c r="R87" s="197"/>
      <c r="S87" s="197"/>
      <c r="T87" s="206">
        <f>VLOOKUP(Table2[[#This Row],[Course Title]],Data!$A$1:$E$56,4,FALSE)</f>
        <v>25</v>
      </c>
      <c r="U87" s="206">
        <f>VLOOKUP(Table2[[#This Row],[Course Title]],Data!$A$1:$E$56,5,FALSE)</f>
        <v>3</v>
      </c>
      <c r="V87" s="206">
        <v>15</v>
      </c>
      <c r="W87" s="207">
        <v>0</v>
      </c>
      <c r="X87" s="206">
        <v>1</v>
      </c>
      <c r="Y87" s="206">
        <v>1</v>
      </c>
      <c r="Z87" s="206">
        <v>0</v>
      </c>
      <c r="AA87" s="208">
        <f ca="1">Table2[[#This Row],[End Date]]+2-TODAY()</f>
        <v>-87</v>
      </c>
      <c r="AB87" s="206">
        <f>IF(ISBLANK(#REF!),1,0)</f>
        <v>0</v>
      </c>
      <c r="AC87" s="206">
        <f ca="1">IF(Table2[[#This Row],[Start Date]]&gt;TODAY(),1,)</f>
        <v>0</v>
      </c>
    </row>
    <row r="88" spans="1:29" s="196" customFormat="1" ht="14.25" customHeight="1">
      <c r="A88" s="197"/>
      <c r="B88" s="198" t="s">
        <v>23</v>
      </c>
      <c r="C88" s="199" t="str">
        <f>VLOOKUP(Table2[[#This Row],[Course Title]],Data!$A$1:$E$56,2,FALSE)</f>
        <v>A-493-0077</v>
      </c>
      <c r="D88" s="199" t="str">
        <f>VLOOKUP(Table2[[#This Row],[Course Title]],Data!$A$1:$E$56,3,FALSE)</f>
        <v>0381</v>
      </c>
      <c r="E88" s="198" t="s">
        <v>155</v>
      </c>
      <c r="F88" s="200">
        <v>45313</v>
      </c>
      <c r="G88" s="200">
        <v>45315</v>
      </c>
      <c r="H88" s="202">
        <v>0.33333333333333331</v>
      </c>
      <c r="I88" s="202"/>
      <c r="J88" s="201"/>
      <c r="K88" s="201"/>
      <c r="L88" s="201"/>
      <c r="M88" s="201"/>
      <c r="N88" s="201"/>
      <c r="O88" s="218" t="e">
        <v>#REF!</v>
      </c>
      <c r="P88" s="213" t="e">
        <v>#REF!</v>
      </c>
      <c r="Q88" s="218"/>
      <c r="R88" s="215"/>
      <c r="S88" s="215"/>
      <c r="T88" s="206">
        <f>VLOOKUP(Table2[[#This Row],[Course Title]],Data!$A$1:$E$56,4,FALSE)</f>
        <v>25</v>
      </c>
      <c r="U88" s="206">
        <f>VLOOKUP(Table2[[#This Row],[Course Title]],Data!$A$1:$E$56,5,FALSE)</f>
        <v>3</v>
      </c>
      <c r="V88" s="206">
        <v>6</v>
      </c>
      <c r="W88" s="207">
        <v>0</v>
      </c>
      <c r="X88" s="206">
        <v>3</v>
      </c>
      <c r="Y88" s="206">
        <v>0</v>
      </c>
      <c r="Z88" s="206">
        <v>0</v>
      </c>
      <c r="AA88" s="208">
        <f ca="1">Table2[[#This Row],[End Date]]+2-TODAY()</f>
        <v>-82</v>
      </c>
      <c r="AB88" s="206">
        <f>IF(ISBLANK(#REF!),1,0)</f>
        <v>0</v>
      </c>
      <c r="AC88" s="206">
        <f ca="1">IF(Table2[[#This Row],[Start Date]]&gt;TODAY(),1,)</f>
        <v>0</v>
      </c>
    </row>
    <row r="89" spans="1:29" s="196" customFormat="1" ht="14.25" customHeight="1">
      <c r="A89" s="197"/>
      <c r="B89" s="198" t="s">
        <v>236</v>
      </c>
      <c r="C89" s="199" t="str">
        <f>VLOOKUP(Table2[[#This Row],[Course Title]],Data!$A$1:$E$56,2,FALSE)</f>
        <v>A-493-0103</v>
      </c>
      <c r="D89" s="199" t="str">
        <f>VLOOKUP(Table2[[#This Row],[Course Title]],Data!$A$1:$E$56,3,FALSE)</f>
        <v>12JY</v>
      </c>
      <c r="E89" s="198" t="s">
        <v>109</v>
      </c>
      <c r="F89" s="201">
        <v>45313</v>
      </c>
      <c r="G89" s="201">
        <v>45317</v>
      </c>
      <c r="H89" s="203">
        <v>0.33333333333333331</v>
      </c>
      <c r="I89" s="203"/>
      <c r="J89" s="201"/>
      <c r="K89" s="201"/>
      <c r="L89" s="201"/>
      <c r="M89" s="201"/>
      <c r="N89" s="201"/>
      <c r="O89" s="213" t="e">
        <v>#REF!</v>
      </c>
      <c r="P89" s="213" t="e">
        <v>#REF!</v>
      </c>
      <c r="Q89" s="214"/>
      <c r="R89" s="215"/>
      <c r="S89" s="215"/>
      <c r="T89" s="206">
        <f>VLOOKUP(Table2[[#This Row],[Course Title]],Data!$A$1:$E$56,4,FALSE)</f>
        <v>25</v>
      </c>
      <c r="U89" s="206">
        <f>VLOOKUP(Table2[[#This Row],[Course Title]],Data!$A$1:$E$56,5,FALSE)</f>
        <v>5</v>
      </c>
      <c r="V89" s="206">
        <v>19</v>
      </c>
      <c r="W89" s="207">
        <v>0</v>
      </c>
      <c r="X89" s="206">
        <v>7</v>
      </c>
      <c r="Y89" s="206">
        <v>2</v>
      </c>
      <c r="Z89" s="199">
        <v>0</v>
      </c>
      <c r="AA89" s="208">
        <f ca="1">Table2[[#This Row],[End Date]]+2-TODAY()</f>
        <v>-80</v>
      </c>
      <c r="AB89" s="206">
        <f>IF(ISBLANK(#REF!),1,0)</f>
        <v>0</v>
      </c>
      <c r="AC89" s="206">
        <f ca="1">IF(Table2[[#This Row],[Start Date]]&gt;TODAY(),1,)</f>
        <v>0</v>
      </c>
    </row>
    <row r="90" spans="1:29" s="196" customFormat="1" ht="14.25" customHeight="1">
      <c r="A90" s="198"/>
      <c r="B90" s="198" t="s">
        <v>14</v>
      </c>
      <c r="C90" s="199" t="str">
        <f>VLOOKUP(Table2[[#This Row],[Course Title]],Data!$A$1:$E$56,2,FALSE)</f>
        <v>A-493-0030</v>
      </c>
      <c r="D90" s="199" t="str">
        <f>VLOOKUP(Table2[[#This Row],[Course Title]],Data!$A$1:$E$56,3,FALSE)</f>
        <v>286X</v>
      </c>
      <c r="E90" s="198" t="s">
        <v>155</v>
      </c>
      <c r="F90" s="201">
        <v>45313</v>
      </c>
      <c r="G90" s="201">
        <v>45317</v>
      </c>
      <c r="H90" s="203">
        <v>0.33333333333333331</v>
      </c>
      <c r="I90" s="203"/>
      <c r="J90" s="201"/>
      <c r="K90" s="201"/>
      <c r="L90" s="201"/>
      <c r="M90" s="201"/>
      <c r="N90" s="201"/>
      <c r="O90" s="204" t="e">
        <v>#REF!</v>
      </c>
      <c r="P90" s="204" t="e">
        <v>#REF!</v>
      </c>
      <c r="Q90" s="205"/>
      <c r="R90" s="197"/>
      <c r="S90" s="197"/>
      <c r="T90" s="206">
        <f>VLOOKUP(Table2[[#This Row],[Course Title]],Data!$A$1:$E$56,4,FALSE)</f>
        <v>25</v>
      </c>
      <c r="U90" s="206">
        <f>VLOOKUP(Table2[[#This Row],[Course Title]],Data!$A$1:$E$56,5,FALSE)</f>
        <v>5</v>
      </c>
      <c r="V90" s="206">
        <v>22</v>
      </c>
      <c r="W90" s="207">
        <v>0</v>
      </c>
      <c r="X90" s="206">
        <v>5</v>
      </c>
      <c r="Y90" s="206">
        <v>2</v>
      </c>
      <c r="Z90" s="206">
        <v>0</v>
      </c>
      <c r="AA90" s="208">
        <f ca="1">Table2[[#This Row],[End Date]]+2-TODAY()</f>
        <v>-80</v>
      </c>
      <c r="AB90" s="206">
        <f>IF(ISBLANK(#REF!),1,0)</f>
        <v>0</v>
      </c>
      <c r="AC90" s="206">
        <f ca="1">IF(Table2[[#This Row],[Start Date]]&gt;TODAY(),1,)</f>
        <v>0</v>
      </c>
    </row>
    <row r="91" spans="1:29" s="234" customFormat="1" ht="14.25" customHeight="1">
      <c r="A91" s="197"/>
      <c r="B91" s="198" t="s">
        <v>242</v>
      </c>
      <c r="C91" s="199" t="str">
        <f>VLOOKUP(Table2[[#This Row],[Course Title]],Data!$A$1:$E$56,2,FALSE)</f>
        <v>A-493-0061</v>
      </c>
      <c r="D91" s="199" t="str">
        <f>VLOOKUP(Table2[[#This Row],[Course Title]],Data!$A$1:$E$56,3,FALSE)</f>
        <v>288E</v>
      </c>
      <c r="E91" s="198" t="s">
        <v>116</v>
      </c>
      <c r="F91" s="201">
        <v>45313</v>
      </c>
      <c r="G91" s="201">
        <v>45317</v>
      </c>
      <c r="H91" s="201"/>
      <c r="I91" s="202">
        <v>0.45833333333333331</v>
      </c>
      <c r="J91" s="202">
        <v>0.33333333333333331</v>
      </c>
      <c r="K91" s="202">
        <v>0.79166666666666663</v>
      </c>
      <c r="L91" s="202">
        <v>0.70833333333333337</v>
      </c>
      <c r="M91" s="202">
        <v>0.25</v>
      </c>
      <c r="N91" s="202">
        <v>4.1666666666666664E-2</v>
      </c>
      <c r="O91" s="213" t="e">
        <v>#REF!</v>
      </c>
      <c r="P91" s="213" t="e">
        <v>#REF!</v>
      </c>
      <c r="Q91" s="213"/>
      <c r="R91" s="215"/>
      <c r="S91" s="215"/>
      <c r="T91" s="206">
        <f>VLOOKUP(Table2[[#This Row],[Course Title]],Data!$A$1:$E$56,4,FALSE)</f>
        <v>45</v>
      </c>
      <c r="U91" s="206">
        <f>VLOOKUP(Table2[[#This Row],[Course Title]],Data!$A$1:$E$56,5,FALSE)</f>
        <v>5</v>
      </c>
      <c r="V91" s="206">
        <v>11</v>
      </c>
      <c r="W91" s="207">
        <v>1</v>
      </c>
      <c r="X91" s="206">
        <v>1</v>
      </c>
      <c r="Y91" s="206">
        <v>0</v>
      </c>
      <c r="Z91" s="206">
        <v>0</v>
      </c>
      <c r="AA91" s="208">
        <f ca="1">Table2[[#This Row],[End Date]]+2-TODAY()</f>
        <v>-80</v>
      </c>
      <c r="AB91" s="206">
        <f>IF(ISBLANK(#REF!),1,0)</f>
        <v>0</v>
      </c>
      <c r="AC91" s="206">
        <f ca="1">IF(Table2[[#This Row],[Start Date]]&gt;TODAY(),1,)</f>
        <v>0</v>
      </c>
    </row>
    <row r="92" spans="1:29" s="211" customFormat="1">
      <c r="A92" s="197"/>
      <c r="B92" s="198" t="s">
        <v>248</v>
      </c>
      <c r="C92" s="199" t="str">
        <f>VLOOKUP(Table2[[#This Row],[Course Title]],Data!$A$1:$E$56,2,FALSE)</f>
        <v>A-322-2604</v>
      </c>
      <c r="D92" s="199" t="str">
        <f>VLOOKUP(Table2[[#This Row],[Course Title]],Data!$A$1:$E$56,3,FALSE)</f>
        <v>10ZZ</v>
      </c>
      <c r="E92" s="198" t="s">
        <v>116</v>
      </c>
      <c r="F92" s="201">
        <v>45313</v>
      </c>
      <c r="G92" s="201">
        <v>45317</v>
      </c>
      <c r="H92" s="201"/>
      <c r="I92" s="202">
        <v>0.54166666666666663</v>
      </c>
      <c r="J92" s="202">
        <v>0.41666666666666669</v>
      </c>
      <c r="K92" s="202">
        <v>0.875</v>
      </c>
      <c r="L92" s="202">
        <v>0.79166666666666663</v>
      </c>
      <c r="M92" s="202">
        <v>0.33333333333333331</v>
      </c>
      <c r="N92" s="202">
        <v>0.125</v>
      </c>
      <c r="O92" s="207" t="e">
        <v>#REF!</v>
      </c>
      <c r="P92" s="204" t="e">
        <v>#REF!</v>
      </c>
      <c r="Q92" s="207"/>
      <c r="R92" s="197"/>
      <c r="S92" s="197"/>
      <c r="T92" s="206">
        <f>VLOOKUP(Table2[[#This Row],[Course Title]],Data!$A$1:$E$56,4,FALSE)</f>
        <v>45</v>
      </c>
      <c r="U92" s="206">
        <f>VLOOKUP(Table2[[#This Row],[Course Title]],Data!$A$1:$E$56,5,FALSE)</f>
        <v>5</v>
      </c>
      <c r="V92" s="206">
        <v>38</v>
      </c>
      <c r="W92" s="207">
        <v>0</v>
      </c>
      <c r="X92" s="206">
        <v>9</v>
      </c>
      <c r="Y92" s="206">
        <v>0</v>
      </c>
      <c r="Z92" s="199">
        <v>0</v>
      </c>
      <c r="AA92" s="208">
        <f ca="1">Table2[[#This Row],[End Date]]+2-TODAY()</f>
        <v>-80</v>
      </c>
      <c r="AB92" s="206">
        <f>IF(ISBLANK(#REF!),1,0)</f>
        <v>0</v>
      </c>
      <c r="AC92" s="206">
        <f ca="1">IF(Table2[[#This Row],[Start Date]]&gt;TODAY(),1,)</f>
        <v>0</v>
      </c>
    </row>
    <row r="93" spans="1:29" s="196" customFormat="1" ht="14.25" customHeight="1">
      <c r="A93" s="197"/>
      <c r="B93" s="198" t="s">
        <v>25</v>
      </c>
      <c r="C93" s="199" t="str">
        <f>VLOOKUP(Table2[[#This Row],[Course Title]],Data!$A$1:$E$56,2,FALSE)</f>
        <v>A-493-2300</v>
      </c>
      <c r="D93" s="199" t="str">
        <f>VLOOKUP(Table2[[#This Row],[Course Title]],Data!$A$1:$E$56,3,FALSE)</f>
        <v>993F</v>
      </c>
      <c r="E93" s="209" t="s">
        <v>166</v>
      </c>
      <c r="F93" s="201">
        <v>45313</v>
      </c>
      <c r="G93" s="201">
        <v>45314</v>
      </c>
      <c r="H93" s="203">
        <v>0.33333333333333331</v>
      </c>
      <c r="I93" s="203"/>
      <c r="J93" s="201"/>
      <c r="K93" s="201"/>
      <c r="L93" s="201"/>
      <c r="M93" s="201"/>
      <c r="N93" s="201"/>
      <c r="O93" s="207" t="e">
        <v>#REF!</v>
      </c>
      <c r="P93" s="204" t="e">
        <v>#REF!</v>
      </c>
      <c r="Q93" s="207"/>
      <c r="R93" s="197"/>
      <c r="S93" s="197"/>
      <c r="T93" s="206">
        <f>VLOOKUP(Table2[[#This Row],[Course Title]],Data!$A$1:$E$56,4,FALSE)</f>
        <v>30</v>
      </c>
      <c r="U93" s="206">
        <f>VLOOKUP(Table2[[#This Row],[Course Title]],Data!$A$1:$E$56,5,FALSE)</f>
        <v>2</v>
      </c>
      <c r="V93" s="206">
        <v>33</v>
      </c>
      <c r="W93" s="207">
        <v>0</v>
      </c>
      <c r="X93" s="206">
        <v>10</v>
      </c>
      <c r="Y93" s="206">
        <v>13</v>
      </c>
      <c r="Z93" s="206">
        <v>0</v>
      </c>
      <c r="AA93" s="208">
        <f ca="1">Table2[[#This Row],[End Date]]+2-TODAY()</f>
        <v>-83</v>
      </c>
      <c r="AB93" s="206">
        <f>IF(ISBLANK(#REF!),1,0)</f>
        <v>0</v>
      </c>
      <c r="AC93" s="206">
        <f ca="1">IF(Table2[[#This Row],[Start Date]]&gt;TODAY(),1,)</f>
        <v>0</v>
      </c>
    </row>
    <row r="94" spans="1:29" s="211" customFormat="1" ht="14.25" customHeight="1">
      <c r="A94" s="197"/>
      <c r="B94" s="198" t="s">
        <v>276</v>
      </c>
      <c r="C94" s="199" t="str">
        <f>VLOOKUP(Table2[[#This Row],[Course Title]],Data!$A$1:$E$56,2,FALSE)</f>
        <v>A-493-0550</v>
      </c>
      <c r="D94" s="199" t="str">
        <f>VLOOKUP(Table2[[#This Row],[Course Title]],Data!$A$1:$E$56,3,FALSE)</f>
        <v>09K5</v>
      </c>
      <c r="E94" s="198" t="s">
        <v>116</v>
      </c>
      <c r="F94" s="201">
        <v>45313</v>
      </c>
      <c r="G94" s="201">
        <v>45317</v>
      </c>
      <c r="H94" s="201"/>
      <c r="I94" s="202">
        <v>0.54166666666666663</v>
      </c>
      <c r="J94" s="202">
        <v>0.41666666666666669</v>
      </c>
      <c r="K94" s="202">
        <v>0.875</v>
      </c>
      <c r="L94" s="202">
        <v>0.79166666666666663</v>
      </c>
      <c r="M94" s="202">
        <v>0.33333333333333331</v>
      </c>
      <c r="N94" s="202">
        <v>0.125</v>
      </c>
      <c r="O94" s="204" t="e">
        <v>#REF!</v>
      </c>
      <c r="P94" s="204" t="e">
        <v>#REF!</v>
      </c>
      <c r="Q94" s="205"/>
      <c r="R94" s="197"/>
      <c r="S94" s="197"/>
      <c r="T94" s="206">
        <f>VLOOKUP(Table2[[#This Row],[Course Title]],Data!$A$1:$E$56,4,FALSE)</f>
        <v>45</v>
      </c>
      <c r="U94" s="206">
        <f>VLOOKUP(Table2[[#This Row],[Course Title]],Data!$A$1:$E$56,5,FALSE)</f>
        <v>4</v>
      </c>
      <c r="V94" s="206">
        <v>38</v>
      </c>
      <c r="W94" s="207">
        <v>1</v>
      </c>
      <c r="X94" s="206">
        <v>7</v>
      </c>
      <c r="Y94" s="206">
        <v>1</v>
      </c>
      <c r="Z94" s="206">
        <v>0</v>
      </c>
      <c r="AA94" s="208">
        <f ca="1">Table2[[#This Row],[End Date]]+2-TODAY()</f>
        <v>-80</v>
      </c>
      <c r="AB94" s="206">
        <f>IF(ISBLANK(#REF!),1,0)</f>
        <v>0</v>
      </c>
      <c r="AC94" s="206">
        <f ca="1">IF(Table2[[#This Row],[Start Date]]&gt;TODAY(),1,)</f>
        <v>0</v>
      </c>
    </row>
    <row r="95" spans="1:29" s="196" customFormat="1" ht="16.5" customHeight="1">
      <c r="A95" s="197" t="s">
        <v>73</v>
      </c>
      <c r="B95" s="198" t="s">
        <v>287</v>
      </c>
      <c r="C95" s="199" t="str">
        <f>VLOOKUP(Table2[[#This Row],[Course Title]],Data!$A$1:$E$56,2,FALSE)</f>
        <v>A-493-0078</v>
      </c>
      <c r="D95" s="199">
        <f>VLOOKUP(Table2[[#This Row],[Course Title]],Data!$A$1:$E$56,3,FALSE)</f>
        <v>1228</v>
      </c>
      <c r="E95" s="198" t="s">
        <v>116</v>
      </c>
      <c r="F95" s="201">
        <v>45313</v>
      </c>
      <c r="G95" s="201">
        <v>45317</v>
      </c>
      <c r="H95" s="201"/>
      <c r="I95" s="202">
        <v>0.79166666666666663</v>
      </c>
      <c r="J95" s="202">
        <v>0.66666666666666663</v>
      </c>
      <c r="K95" s="202">
        <v>0.125</v>
      </c>
      <c r="L95" s="202">
        <v>4.1666666666666664E-2</v>
      </c>
      <c r="M95" s="202">
        <v>0.58333333333333337</v>
      </c>
      <c r="N95" s="202">
        <v>0.375</v>
      </c>
      <c r="O95" s="204" t="e">
        <v>#REF!</v>
      </c>
      <c r="P95" s="204" t="e">
        <v>#REF!</v>
      </c>
      <c r="Q95" s="205"/>
      <c r="R95" s="197"/>
      <c r="S95" s="197"/>
      <c r="T95" s="206">
        <f>VLOOKUP(Table2[[#This Row],[Course Title]],Data!$A$1:$E$56,4,FALSE)</f>
        <v>45</v>
      </c>
      <c r="U95" s="206">
        <f>VLOOKUP(Table2[[#This Row],[Course Title]],Data!$A$1:$E$56,5,FALSE)</f>
        <v>5</v>
      </c>
      <c r="V95" s="206">
        <v>25</v>
      </c>
      <c r="W95" s="207">
        <v>0</v>
      </c>
      <c r="X95" s="206">
        <v>1</v>
      </c>
      <c r="Y95" s="206">
        <v>0</v>
      </c>
      <c r="Z95" s="206">
        <v>0</v>
      </c>
      <c r="AA95" s="208">
        <f ca="1">Table2[[#This Row],[End Date]]+2-TODAY()</f>
        <v>-80</v>
      </c>
      <c r="AB95" s="206">
        <f>IF(ISBLANK(#REF!),1,0)</f>
        <v>0</v>
      </c>
      <c r="AC95" s="206">
        <f ca="1">IF(Table2[[#This Row],[Start Date]]&gt;TODAY(),1,)</f>
        <v>0</v>
      </c>
    </row>
    <row r="96" spans="1:29" s="196" customFormat="1" ht="14.25" customHeight="1">
      <c r="A96" s="197"/>
      <c r="B96" s="198" t="s">
        <v>18</v>
      </c>
      <c r="C96" s="199" t="str">
        <f>VLOOKUP(Table2[[#This Row],[Course Title]],Data!$A$1:$E$56,2,FALSE)</f>
        <v>A-493-0013</v>
      </c>
      <c r="D96" s="199">
        <f>VLOOKUP(Table2[[#This Row],[Course Title]],Data!$A$1:$E$56,3,FALSE)</f>
        <v>3683</v>
      </c>
      <c r="E96" s="198" t="s">
        <v>182</v>
      </c>
      <c r="F96" s="201">
        <v>45314</v>
      </c>
      <c r="G96" s="201">
        <v>45316</v>
      </c>
      <c r="H96" s="203">
        <v>0.33333333333333331</v>
      </c>
      <c r="I96" s="203"/>
      <c r="J96" s="203"/>
      <c r="K96" s="203"/>
      <c r="L96" s="203"/>
      <c r="M96" s="203"/>
      <c r="N96" s="201"/>
      <c r="O96" s="213" t="e">
        <v>#REF!</v>
      </c>
      <c r="P96" s="213" t="e">
        <v>#REF!</v>
      </c>
      <c r="Q96" s="214"/>
      <c r="R96" s="215"/>
      <c r="S96" s="215"/>
      <c r="T96" s="206">
        <f>VLOOKUP(Table2[[#This Row],[Course Title]],Data!$A$1:$E$56,4,FALSE)</f>
        <v>40</v>
      </c>
      <c r="U96" s="206">
        <v>3</v>
      </c>
      <c r="V96" s="206">
        <v>16</v>
      </c>
      <c r="W96" s="207">
        <v>0</v>
      </c>
      <c r="X96" s="206">
        <v>1</v>
      </c>
      <c r="Y96" s="206">
        <v>3</v>
      </c>
      <c r="Z96" s="206">
        <v>0</v>
      </c>
      <c r="AA96" s="208">
        <f ca="1">Table2[[#This Row],[End Date]]+2-TODAY()</f>
        <v>-81</v>
      </c>
      <c r="AB96" s="206">
        <f>IF(ISBLANK(#REF!),1,0)</f>
        <v>0</v>
      </c>
      <c r="AC96" s="206">
        <f ca="1">IF(Table2[[#This Row],[Start Date]]&gt;TODAY(),1,)</f>
        <v>0</v>
      </c>
    </row>
    <row r="97" spans="1:29" s="196" customFormat="1" ht="14.25" customHeight="1">
      <c r="A97" s="197"/>
      <c r="B97" s="198" t="s">
        <v>19</v>
      </c>
      <c r="C97" s="199" t="str">
        <f>VLOOKUP(Table2[[#This Row],[Course Title]],Data!$A$1:$E$56,2,FALSE)</f>
        <v>A-493-0099</v>
      </c>
      <c r="D97" s="199" t="str">
        <f>VLOOKUP(Table2[[#This Row],[Course Title]],Data!$A$1:$E$56,3,FALSE)</f>
        <v>12JW</v>
      </c>
      <c r="E97" s="198" t="s">
        <v>116</v>
      </c>
      <c r="F97" s="201">
        <v>45314</v>
      </c>
      <c r="G97" s="201">
        <v>45316</v>
      </c>
      <c r="H97" s="201"/>
      <c r="I97" s="202">
        <v>0.54166666666666663</v>
      </c>
      <c r="J97" s="202">
        <v>0.41666666666666669</v>
      </c>
      <c r="K97" s="202">
        <v>0.875</v>
      </c>
      <c r="L97" s="202">
        <v>0.79166666666666663</v>
      </c>
      <c r="M97" s="202">
        <v>0.33333333333333331</v>
      </c>
      <c r="N97" s="202">
        <v>0.125</v>
      </c>
      <c r="O97" s="213" t="e">
        <v>#REF!</v>
      </c>
      <c r="P97" s="213" t="e">
        <v>#REF!</v>
      </c>
      <c r="Q97" s="214"/>
      <c r="R97" s="215"/>
      <c r="S97" s="215"/>
      <c r="T97" s="206">
        <f>VLOOKUP(Table2[[#This Row],[Course Title]],Data!$A$1:$E$56,4,FALSE)</f>
        <v>45</v>
      </c>
      <c r="U97" s="206">
        <f>VLOOKUP(Table2[[#This Row],[Course Title]],Data!$A$1:$E$56,5,FALSE)</f>
        <v>3</v>
      </c>
      <c r="V97" s="206">
        <v>40</v>
      </c>
      <c r="W97" s="207">
        <v>0</v>
      </c>
      <c r="X97" s="206">
        <v>4</v>
      </c>
      <c r="Y97" s="206">
        <v>0</v>
      </c>
      <c r="Z97" s="206">
        <v>0</v>
      </c>
      <c r="AA97" s="208">
        <f ca="1">Table2[[#This Row],[End Date]]+2-TODAY()</f>
        <v>-81</v>
      </c>
      <c r="AB97" s="206">
        <f>IF(ISBLANK(#REF!),1,0)</f>
        <v>0</v>
      </c>
      <c r="AC97" s="206">
        <f ca="1">IF(Table2[[#This Row],[Start Date]]&gt;TODAY(),1,)</f>
        <v>0</v>
      </c>
    </row>
    <row r="98" spans="1:29" s="196" customFormat="1" ht="14.25" customHeight="1">
      <c r="A98" s="197" t="s">
        <v>477</v>
      </c>
      <c r="B98" s="198" t="s">
        <v>38</v>
      </c>
      <c r="C98" s="199" t="str">
        <f>VLOOKUP(Table2[[#This Row],[Course Title]],Data!$A$1:$E$56,2,FALSE)</f>
        <v>A-493-0072</v>
      </c>
      <c r="D98" s="199" t="str">
        <f>VLOOKUP(Table2[[#This Row],[Course Title]],Data!$A$1:$E$56,3,FALSE)</f>
        <v>713U</v>
      </c>
      <c r="E98" s="198" t="s">
        <v>133</v>
      </c>
      <c r="F98" s="201">
        <v>45314</v>
      </c>
      <c r="G98" s="201">
        <v>45317</v>
      </c>
      <c r="H98" s="210">
        <v>0.33333333333333331</v>
      </c>
      <c r="I98" s="210"/>
      <c r="J98" s="201"/>
      <c r="K98" s="201"/>
      <c r="L98" s="201"/>
      <c r="M98" s="201"/>
      <c r="N98" s="201"/>
      <c r="O98" s="204" t="e">
        <v>#REF!</v>
      </c>
      <c r="P98" s="204" t="e">
        <v>#REF!</v>
      </c>
      <c r="Q98" s="204"/>
      <c r="R98" s="197"/>
      <c r="S98" s="197"/>
      <c r="T98" s="206">
        <f>VLOOKUP(Table2[[#This Row],[Course Title]],Data!$A$1:$E$56,4,FALSE)</f>
        <v>30</v>
      </c>
      <c r="U98" s="206">
        <f>VLOOKUP(Table2[[#This Row],[Course Title]],Data!$A$1:$E$56,5,FALSE)</f>
        <v>4</v>
      </c>
      <c r="V98" s="206">
        <v>28</v>
      </c>
      <c r="W98" s="207">
        <v>0</v>
      </c>
      <c r="X98" s="206">
        <v>2</v>
      </c>
      <c r="Y98" s="206">
        <v>0</v>
      </c>
      <c r="Z98" s="206">
        <v>0</v>
      </c>
      <c r="AA98" s="208">
        <f ca="1">Table2[[#This Row],[End Date]]+2-TODAY()</f>
        <v>-80</v>
      </c>
      <c r="AB98" s="206">
        <f>IF(ISBLANK(#REF!),1,0)</f>
        <v>0</v>
      </c>
      <c r="AC98" s="206">
        <f ca="1">IF(Table2[[#This Row],[Start Date]]&gt;TODAY(),1,)</f>
        <v>0</v>
      </c>
    </row>
    <row r="99" spans="1:29" s="196" customFormat="1" ht="14.25" customHeight="1">
      <c r="A99" s="197"/>
      <c r="B99" s="198" t="s">
        <v>35</v>
      </c>
      <c r="C99" s="199" t="str">
        <f>VLOOKUP(Table2[[#This Row],[Course Title]],Data!$A$1:$E$56,2,FALSE)</f>
        <v>A-493-2501</v>
      </c>
      <c r="D99" s="199" t="str">
        <f>VLOOKUP(Table2[[#This Row],[Course Title]],Data!$A$1:$E$56,3,FALSE)</f>
        <v>05ZE</v>
      </c>
      <c r="E99" s="209" t="s">
        <v>166</v>
      </c>
      <c r="F99" s="201">
        <v>45316</v>
      </c>
      <c r="G99" s="201">
        <v>45316</v>
      </c>
      <c r="H99" s="203">
        <v>0.33333333333333331</v>
      </c>
      <c r="I99" s="203"/>
      <c r="J99" s="201"/>
      <c r="K99" s="201"/>
      <c r="L99" s="201"/>
      <c r="M99" s="201"/>
      <c r="N99" s="201"/>
      <c r="O99" s="218" t="e">
        <v>#REF!</v>
      </c>
      <c r="P99" s="213" t="e">
        <v>#REF!</v>
      </c>
      <c r="Q99" s="218"/>
      <c r="R99" s="215"/>
      <c r="S99" s="215"/>
      <c r="T99" s="206">
        <f>VLOOKUP(Table2[[#This Row],[Course Title]],Data!$A$1:$E$56,4,FALSE)</f>
        <v>30</v>
      </c>
      <c r="U99" s="206">
        <f>VLOOKUP(Table2[[#This Row],[Course Title]],Data!$A$1:$E$56,5,FALSE)</f>
        <v>1</v>
      </c>
      <c r="V99" s="206">
        <v>31</v>
      </c>
      <c r="W99" s="207">
        <v>0</v>
      </c>
      <c r="X99" s="206">
        <v>15</v>
      </c>
      <c r="Y99" s="206">
        <v>12</v>
      </c>
      <c r="Z99" s="206">
        <v>10</v>
      </c>
      <c r="AA99" s="208">
        <f ca="1">Table2[[#This Row],[End Date]]+2-TODAY()</f>
        <v>-81</v>
      </c>
      <c r="AB99" s="206">
        <f>IF(ISBLANK(#REF!),1,0)</f>
        <v>0</v>
      </c>
      <c r="AC99" s="206">
        <f ca="1">IF(Table2[[#This Row],[Start Date]]&gt;TODAY(),1,)</f>
        <v>0</v>
      </c>
    </row>
    <row r="100" spans="1:29" s="196" customFormat="1" ht="14.25" customHeight="1">
      <c r="A100" s="197"/>
      <c r="B100" s="198" t="s">
        <v>27</v>
      </c>
      <c r="C100" s="199" t="str">
        <f>VLOOKUP(Table2[[#This Row],[Course Title]],Data!$A$1:$E$56,2,FALSE)</f>
        <v>A-493-0216</v>
      </c>
      <c r="D100" s="199" t="str">
        <f>VLOOKUP(Table2[[#This Row],[Course Title]],Data!$A$1:$E$56,3,FALSE)</f>
        <v>12X8</v>
      </c>
      <c r="E100" s="209" t="s">
        <v>166</v>
      </c>
      <c r="F100" s="201">
        <v>45317</v>
      </c>
      <c r="G100" s="201">
        <v>45317</v>
      </c>
      <c r="H100" s="203">
        <v>0.33333333333333331</v>
      </c>
      <c r="I100" s="203"/>
      <c r="J100" s="201"/>
      <c r="K100" s="201"/>
      <c r="L100" s="201"/>
      <c r="M100" s="201"/>
      <c r="N100" s="201"/>
      <c r="O100" s="218" t="e">
        <v>#REF!</v>
      </c>
      <c r="P100" s="213" t="e">
        <v>#REF!</v>
      </c>
      <c r="Q100" s="218"/>
      <c r="R100" s="215"/>
      <c r="S100" s="215"/>
      <c r="T100" s="206">
        <f>VLOOKUP(Table2[[#This Row],[Course Title]],Data!$A$1:$E$56,4,FALSE)</f>
        <v>30</v>
      </c>
      <c r="U100" s="206">
        <f>VLOOKUP(Table2[[#This Row],[Course Title]],Data!$A$1:$E$56,5,FALSE)</f>
        <v>1</v>
      </c>
      <c r="V100" s="206">
        <v>29</v>
      </c>
      <c r="W100" s="207">
        <v>0</v>
      </c>
      <c r="X100" s="206">
        <v>13</v>
      </c>
      <c r="Y100" s="206">
        <v>12</v>
      </c>
      <c r="Z100" s="206">
        <v>8</v>
      </c>
      <c r="AA100" s="208">
        <f ca="1">Table2[[#This Row],[End Date]]+2-TODAY()</f>
        <v>-80</v>
      </c>
      <c r="AB100" s="206">
        <f>IF(ISBLANK(#REF!),1,0)</f>
        <v>0</v>
      </c>
      <c r="AC100" s="206">
        <f ca="1">IF(Table2[[#This Row],[Start Date]]&gt;TODAY(),1,)</f>
        <v>0</v>
      </c>
    </row>
    <row r="101" spans="1:29" s="196" customFormat="1" ht="14.25" customHeight="1">
      <c r="A101" s="197"/>
      <c r="B101" s="198" t="s">
        <v>28</v>
      </c>
      <c r="C101" s="199" t="str">
        <f>VLOOKUP(Table2[[#This Row],[Course Title]],Data!$A$1:$E$56,2,FALSE)</f>
        <v>A-493-0092</v>
      </c>
      <c r="D101" s="199">
        <f>VLOOKUP(Table2[[#This Row],[Course Title]],Data!$A$1:$E$56,3,FALSE)</f>
        <v>5891</v>
      </c>
      <c r="E101" s="198" t="s">
        <v>133</v>
      </c>
      <c r="F101" s="201">
        <v>45320</v>
      </c>
      <c r="G101" s="201">
        <v>45322</v>
      </c>
      <c r="H101" s="203">
        <v>0.33333333333333331</v>
      </c>
      <c r="I101" s="203"/>
      <c r="J101" s="201"/>
      <c r="K101" s="201"/>
      <c r="L101" s="201"/>
      <c r="M101" s="201"/>
      <c r="N101" s="201"/>
      <c r="O101" s="204" t="e">
        <v>#REF!</v>
      </c>
      <c r="P101" s="204" t="e">
        <v>#REF!</v>
      </c>
      <c r="Q101" s="205"/>
      <c r="R101" s="197"/>
      <c r="S101" s="197"/>
      <c r="T101" s="206">
        <f>VLOOKUP(Table2[[#This Row],[Course Title]],Data!$A$1:$E$56,4,FALSE)</f>
        <v>25</v>
      </c>
      <c r="U101" s="206">
        <f>VLOOKUP(Table2[[#This Row],[Course Title]],Data!$A$1:$E$56,5,FALSE)</f>
        <v>3</v>
      </c>
      <c r="V101" s="206">
        <v>14</v>
      </c>
      <c r="W101" s="207">
        <v>0</v>
      </c>
      <c r="X101" s="206">
        <v>2</v>
      </c>
      <c r="Y101" s="206">
        <v>2</v>
      </c>
      <c r="Z101" s="206">
        <v>0</v>
      </c>
      <c r="AA101" s="208">
        <f ca="1">Table2[[#This Row],[End Date]]+2-TODAY()</f>
        <v>-75</v>
      </c>
      <c r="AB101" s="206">
        <f>IF(ISBLANK(#REF!),1,0)</f>
        <v>0</v>
      </c>
      <c r="AC101" s="206">
        <f ca="1">IF(Table2[[#This Row],[Start Date]]&gt;TODAY(),1,)</f>
        <v>0</v>
      </c>
    </row>
    <row r="102" spans="1:29" s="211" customFormat="1">
      <c r="A102" s="197"/>
      <c r="B102" s="198" t="s">
        <v>248</v>
      </c>
      <c r="C102" s="199" t="str">
        <f>VLOOKUP(Table2[[#This Row],[Course Title]],Data!$A$1:$E$56,2,FALSE)</f>
        <v>A-322-2604</v>
      </c>
      <c r="D102" s="199" t="str">
        <f>VLOOKUP(Table2[[#This Row],[Course Title]],Data!$A$1:$E$56,3,FALSE)</f>
        <v>10ZZ</v>
      </c>
      <c r="E102" s="198" t="s">
        <v>116</v>
      </c>
      <c r="F102" s="201">
        <v>45320</v>
      </c>
      <c r="G102" s="201">
        <v>45324</v>
      </c>
      <c r="H102" s="201"/>
      <c r="I102" s="202">
        <v>0.33333333333333331</v>
      </c>
      <c r="J102" s="202">
        <v>0.20833333333333334</v>
      </c>
      <c r="K102" s="202">
        <v>0.66666666666666663</v>
      </c>
      <c r="L102" s="202">
        <v>0.58333333333333337</v>
      </c>
      <c r="M102" s="202">
        <v>0.125</v>
      </c>
      <c r="N102" s="202">
        <v>0.91666666666666663</v>
      </c>
      <c r="O102" s="207" t="e">
        <v>#REF!</v>
      </c>
      <c r="P102" s="204" t="e">
        <v>#REF!</v>
      </c>
      <c r="Q102" s="207"/>
      <c r="R102" s="197"/>
      <c r="S102" s="197"/>
      <c r="T102" s="206">
        <f>VLOOKUP(Table2[[#This Row],[Course Title]],Data!$A$1:$E$56,4,FALSE)</f>
        <v>45</v>
      </c>
      <c r="U102" s="206">
        <f>VLOOKUP(Table2[[#This Row],[Course Title]],Data!$A$1:$E$56,5,FALSE)</f>
        <v>5</v>
      </c>
      <c r="V102" s="206">
        <v>41</v>
      </c>
      <c r="W102" s="207">
        <v>0</v>
      </c>
      <c r="X102" s="206">
        <v>6</v>
      </c>
      <c r="Y102" s="206">
        <v>3</v>
      </c>
      <c r="Z102" s="206">
        <v>0</v>
      </c>
      <c r="AA102" s="208">
        <f ca="1">Table2[[#This Row],[End Date]]+2-TODAY()</f>
        <v>-73</v>
      </c>
      <c r="AB102" s="206">
        <f>IF(ISBLANK(#REF!),1,0)</f>
        <v>0</v>
      </c>
      <c r="AC102" s="206">
        <f ca="1">IF(Table2[[#This Row],[Start Date]]&gt;TODAY(),1,)</f>
        <v>0</v>
      </c>
    </row>
    <row r="103" spans="1:29" s="211" customFormat="1">
      <c r="A103" s="197"/>
      <c r="B103" s="198" t="s">
        <v>270</v>
      </c>
      <c r="C103" s="199" t="str">
        <f>VLOOKUP(Table2[[#This Row],[Course Title]],Data!$A$1:$E$56,2,FALSE)</f>
        <v>A-493-0335</v>
      </c>
      <c r="D103" s="199" t="str">
        <f>VLOOKUP(Table2[[#This Row],[Course Title]],Data!$A$1:$E$56,3,FALSE)</f>
        <v>09ND</v>
      </c>
      <c r="E103" s="198" t="s">
        <v>116</v>
      </c>
      <c r="F103" s="236">
        <v>45320</v>
      </c>
      <c r="G103" s="236">
        <v>45323</v>
      </c>
      <c r="H103" s="200"/>
      <c r="I103" s="202">
        <v>0.33333333333333331</v>
      </c>
      <c r="J103" s="202">
        <v>0.25</v>
      </c>
      <c r="K103" s="202">
        <v>0.70833333333333337</v>
      </c>
      <c r="L103" s="202">
        <v>0.625</v>
      </c>
      <c r="M103" s="202">
        <v>0.16666666666666666</v>
      </c>
      <c r="N103" s="202">
        <v>0.95833333333333337</v>
      </c>
      <c r="O103" s="204" t="e">
        <v>#REF!</v>
      </c>
      <c r="P103" s="204" t="e">
        <v>#REF!</v>
      </c>
      <c r="Q103" s="205"/>
      <c r="R103" s="197"/>
      <c r="S103" s="197"/>
      <c r="T103" s="206">
        <f>VLOOKUP(Table2[[#This Row],[Course Title]],Data!$A$1:$E$56,4,FALSE)</f>
        <v>30</v>
      </c>
      <c r="U103" s="206">
        <f>VLOOKUP(Table2[[#This Row],[Course Title]],Data!$A$1:$E$56,5,FALSE)</f>
        <v>4</v>
      </c>
      <c r="V103" s="206">
        <v>27</v>
      </c>
      <c r="W103" s="207">
        <v>1</v>
      </c>
      <c r="X103" s="206">
        <v>3</v>
      </c>
      <c r="Y103" s="206">
        <v>0</v>
      </c>
      <c r="Z103" s="206">
        <v>0</v>
      </c>
      <c r="AA103" s="208">
        <f ca="1">Table2[[#This Row],[End Date]]+2-TODAY()</f>
        <v>-74</v>
      </c>
      <c r="AB103" s="206">
        <f>IF(ISBLANK(#REF!),1,0)</f>
        <v>0</v>
      </c>
      <c r="AC103" s="206">
        <f ca="1">IF(Table2[[#This Row],[Start Date]]&gt;TODAY(),1,)</f>
        <v>0</v>
      </c>
    </row>
    <row r="104" spans="1:29" s="211" customFormat="1">
      <c r="A104" s="197"/>
      <c r="B104" s="198" t="s">
        <v>299</v>
      </c>
      <c r="C104" s="199" t="str">
        <f>VLOOKUP(Table2[[#This Row],[Course Title]],Data!$A$1:$E$56,2,FALSE)</f>
        <v>A-570-0100</v>
      </c>
      <c r="D104" s="199" t="str">
        <f>VLOOKUP(Table2[[#This Row],[Course Title]],Data!$A$1:$E$56,3,FALSE)</f>
        <v>18B7</v>
      </c>
      <c r="E104" s="198" t="s">
        <v>116</v>
      </c>
      <c r="F104" s="201">
        <v>45320</v>
      </c>
      <c r="G104" s="201">
        <v>45323</v>
      </c>
      <c r="H104" s="201"/>
      <c r="I104" s="202">
        <v>0.54166666666666663</v>
      </c>
      <c r="J104" s="202">
        <v>0.41666666666666669</v>
      </c>
      <c r="K104" s="202">
        <v>0.875</v>
      </c>
      <c r="L104" s="202">
        <v>0.79166666666666663</v>
      </c>
      <c r="M104" s="202">
        <v>0.33333333333333331</v>
      </c>
      <c r="N104" s="202">
        <v>0.125</v>
      </c>
      <c r="O104" s="218" t="e">
        <v>#REF!</v>
      </c>
      <c r="P104" s="213" t="e">
        <v>#REF!</v>
      </c>
      <c r="Q104" s="218"/>
      <c r="R104" s="215"/>
      <c r="S104" s="215"/>
      <c r="T104" s="206">
        <f>VLOOKUP(Table2[[#This Row],[Course Title]],Data!$A$1:$E$56,4,FALSE)</f>
        <v>30</v>
      </c>
      <c r="U104" s="206">
        <f>VLOOKUP(Table2[[#This Row],[Course Title]],Data!$A$1:$E$56,5,FALSE)</f>
        <v>4</v>
      </c>
      <c r="V104" s="206">
        <v>20</v>
      </c>
      <c r="W104" s="207">
        <v>2</v>
      </c>
      <c r="X104" s="206">
        <v>10</v>
      </c>
      <c r="Y104" s="206">
        <v>2</v>
      </c>
      <c r="Z104" s="206">
        <v>0</v>
      </c>
      <c r="AA104" s="208">
        <f ca="1">Table2[[#This Row],[End Date]]+2-TODAY()</f>
        <v>-74</v>
      </c>
      <c r="AB104" s="206">
        <f>IF(ISBLANK(#REF!),1,0)</f>
        <v>0</v>
      </c>
      <c r="AC104" s="206">
        <f ca="1">IF(Table2[[#This Row],[Start Date]]&gt;TODAY(),1,)</f>
        <v>0</v>
      </c>
    </row>
    <row r="105" spans="1:29" s="196" customFormat="1" ht="14.25" customHeight="1">
      <c r="A105" s="197"/>
      <c r="B105" s="198" t="s">
        <v>312</v>
      </c>
      <c r="C105" s="199" t="str">
        <f>VLOOKUP(Table2[[#This Row],[Course Title]],Data!$A$1:$E$56,2,FALSE)</f>
        <v>A-493-2098</v>
      </c>
      <c r="D105" s="199" t="str">
        <f>VLOOKUP(Table2[[#This Row],[Course Title]],Data!$A$1:$E$56,3,FALSE)</f>
        <v>09WW</v>
      </c>
      <c r="E105" s="198" t="s">
        <v>116</v>
      </c>
      <c r="F105" s="201">
        <v>45320</v>
      </c>
      <c r="G105" s="201">
        <v>45324</v>
      </c>
      <c r="H105" s="201"/>
      <c r="I105" s="202">
        <v>0.54166666666666663</v>
      </c>
      <c r="J105" s="202">
        <v>0.41666666666666669</v>
      </c>
      <c r="K105" s="202">
        <v>0.875</v>
      </c>
      <c r="L105" s="202">
        <v>0.79166666666666663</v>
      </c>
      <c r="M105" s="202">
        <v>0.33333333333333331</v>
      </c>
      <c r="N105" s="202">
        <v>0.125</v>
      </c>
      <c r="O105" s="207" t="e">
        <v>#REF!</v>
      </c>
      <c r="P105" s="204" t="e">
        <v>#REF!</v>
      </c>
      <c r="Q105" s="207"/>
      <c r="R105" s="197"/>
      <c r="S105" s="197"/>
      <c r="T105" s="206">
        <f>VLOOKUP(Table2[[#This Row],[Course Title]],Data!$A$1:$E$56,4,FALSE)</f>
        <v>100</v>
      </c>
      <c r="U105" s="206">
        <f>VLOOKUP(Table2[[#This Row],[Course Title]],Data!$A$1:$E$56,5,FALSE)</f>
        <v>5</v>
      </c>
      <c r="V105" s="206">
        <v>88</v>
      </c>
      <c r="W105" s="207">
        <v>4</v>
      </c>
      <c r="X105" s="206">
        <v>11</v>
      </c>
      <c r="Y105" s="206">
        <v>0</v>
      </c>
      <c r="Z105" s="206">
        <v>0</v>
      </c>
      <c r="AA105" s="208">
        <f ca="1">Table2[[#This Row],[End Date]]+2-TODAY()</f>
        <v>-73</v>
      </c>
      <c r="AB105" s="206">
        <f>IF(ISBLANK(#REF!),1,0)</f>
        <v>0</v>
      </c>
      <c r="AC105" s="206">
        <f ca="1">IF(Table2[[#This Row],[Start Date]]&gt;TODAY(),1,)</f>
        <v>0</v>
      </c>
    </row>
    <row r="106" spans="1:29" s="196" customFormat="1" ht="16.5" customHeight="1">
      <c r="A106" s="197"/>
      <c r="B106" s="198" t="s">
        <v>215</v>
      </c>
      <c r="C106" s="199" t="str">
        <f>VLOOKUP(Table2[[#This Row],[Course Title]],Data!$A$1:$E$56,2,FALSE)</f>
        <v>A-493-0665</v>
      </c>
      <c r="D106" s="199" t="str">
        <f>VLOOKUP(Table2[[#This Row],[Course Title]],Data!$A$1:$E$56,3,FALSE)</f>
        <v>10KW</v>
      </c>
      <c r="E106" s="198" t="s">
        <v>116</v>
      </c>
      <c r="F106" s="201">
        <v>45327</v>
      </c>
      <c r="G106" s="201">
        <v>45331</v>
      </c>
      <c r="H106" s="201"/>
      <c r="I106" s="202">
        <v>0.33333333333333331</v>
      </c>
      <c r="J106" s="202">
        <v>0.20833333333333334</v>
      </c>
      <c r="K106" s="202">
        <v>0.66666666666666663</v>
      </c>
      <c r="L106" s="202">
        <v>0.58333333333333337</v>
      </c>
      <c r="M106" s="202">
        <v>0.125</v>
      </c>
      <c r="N106" s="202">
        <v>0.91666666666666663</v>
      </c>
      <c r="O106" s="218" t="e">
        <v>#REF!</v>
      </c>
      <c r="P106" s="213" t="e">
        <v>#REF!</v>
      </c>
      <c r="Q106" s="218"/>
      <c r="R106" s="215"/>
      <c r="S106" s="215"/>
      <c r="T106" s="206">
        <f>VLOOKUP(Table2[[#This Row],[Course Title]],Data!$A$1:$E$56,4,FALSE)</f>
        <v>45</v>
      </c>
      <c r="U106" s="206">
        <f>VLOOKUP(Table2[[#This Row],[Course Title]],Data!$A$1:$E$56,5,FALSE)</f>
        <v>5</v>
      </c>
      <c r="V106" s="206">
        <v>33</v>
      </c>
      <c r="W106" s="207">
        <v>2</v>
      </c>
      <c r="X106" s="206">
        <v>9</v>
      </c>
      <c r="Y106" s="206">
        <v>0</v>
      </c>
      <c r="Z106" s="222">
        <v>0</v>
      </c>
      <c r="AA106" s="208">
        <f ca="1">Table2[[#This Row],[End Date]]+2-TODAY()</f>
        <v>-66</v>
      </c>
      <c r="AB106" s="206">
        <f>IF(ISBLANK(#REF!),1,0)</f>
        <v>0</v>
      </c>
      <c r="AC106" s="206">
        <f ca="1">IF(Table2[[#This Row],[Start Date]]&gt;TODAY(),1,)</f>
        <v>0</v>
      </c>
    </row>
    <row r="107" spans="1:29" s="196" customFormat="1" ht="14.25" customHeight="1">
      <c r="A107" s="197"/>
      <c r="B107" s="198" t="s">
        <v>236</v>
      </c>
      <c r="C107" s="199" t="str">
        <f>VLOOKUP(Table2[[#This Row],[Course Title]],Data!$A$1:$E$56,2,FALSE)</f>
        <v>A-493-0103</v>
      </c>
      <c r="D107" s="199" t="str">
        <f>VLOOKUP(Table2[[#This Row],[Course Title]],Data!$A$1:$E$56,3,FALSE)</f>
        <v>12JY</v>
      </c>
      <c r="E107" s="198" t="s">
        <v>133</v>
      </c>
      <c r="F107" s="201">
        <v>45327</v>
      </c>
      <c r="G107" s="201">
        <v>45331</v>
      </c>
      <c r="H107" s="203">
        <v>0.33333333333333331</v>
      </c>
      <c r="I107" s="203"/>
      <c r="J107" s="201"/>
      <c r="K107" s="201"/>
      <c r="L107" s="201"/>
      <c r="M107" s="201"/>
      <c r="N107" s="201"/>
      <c r="O107" s="204" t="e">
        <v>#REF!</v>
      </c>
      <c r="P107" s="204" t="e">
        <v>#REF!</v>
      </c>
      <c r="Q107" s="205"/>
      <c r="R107" s="197"/>
      <c r="S107" s="197"/>
      <c r="T107" s="206">
        <f>VLOOKUP(Table2[[#This Row],[Course Title]],Data!$A$1:$E$56,4,FALSE)</f>
        <v>25</v>
      </c>
      <c r="U107" s="206">
        <f>VLOOKUP(Table2[[#This Row],[Course Title]],Data!$A$1:$E$56,5,FALSE)</f>
        <v>5</v>
      </c>
      <c r="V107" s="206">
        <v>16</v>
      </c>
      <c r="W107" s="207">
        <v>0</v>
      </c>
      <c r="X107" s="206">
        <v>10</v>
      </c>
      <c r="Y107" s="206">
        <v>0</v>
      </c>
      <c r="Z107" s="206">
        <v>0</v>
      </c>
      <c r="AA107" s="208">
        <f ca="1">Table2[[#This Row],[End Date]]+2-TODAY()</f>
        <v>-66</v>
      </c>
      <c r="AB107" s="206">
        <f>IF(ISBLANK(#REF!),1,0)</f>
        <v>0</v>
      </c>
      <c r="AC107" s="206">
        <f ca="1">IF(Table2[[#This Row],[Start Date]]&gt;TODAY(),1,)</f>
        <v>0</v>
      </c>
    </row>
    <row r="108" spans="1:29" s="196" customFormat="1" ht="14.25" customHeight="1">
      <c r="A108" s="197"/>
      <c r="B108" s="198" t="s">
        <v>18</v>
      </c>
      <c r="C108" s="199" t="str">
        <f>VLOOKUP(Table2[[#This Row],[Course Title]],Data!$A$1:$E$56,2,FALSE)</f>
        <v>A-493-0013</v>
      </c>
      <c r="D108" s="199">
        <f>VLOOKUP(Table2[[#This Row],[Course Title]],Data!$A$1:$E$56,3,FALSE)</f>
        <v>3683</v>
      </c>
      <c r="E108" s="198" t="s">
        <v>351</v>
      </c>
      <c r="F108" s="201">
        <v>45327</v>
      </c>
      <c r="G108" s="201">
        <v>45329</v>
      </c>
      <c r="H108" s="203">
        <v>0.33333333333333331</v>
      </c>
      <c r="I108" s="203"/>
      <c r="J108" s="203"/>
      <c r="K108" s="203"/>
      <c r="L108" s="203"/>
      <c r="M108" s="203"/>
      <c r="N108" s="201"/>
      <c r="O108" s="204" t="e">
        <v>#REF!</v>
      </c>
      <c r="P108" s="204" t="e">
        <v>#REF!</v>
      </c>
      <c r="Q108" s="205"/>
      <c r="R108" s="197"/>
      <c r="S108" s="197"/>
      <c r="T108" s="206">
        <f>VLOOKUP(Table2[[#This Row],[Course Title]],Data!$A$1:$E$56,4,FALSE)</f>
        <v>40</v>
      </c>
      <c r="U108" s="206">
        <v>3</v>
      </c>
      <c r="V108" s="206">
        <v>14</v>
      </c>
      <c r="W108" s="207">
        <v>0</v>
      </c>
      <c r="X108" s="206">
        <v>1</v>
      </c>
      <c r="Y108" s="206">
        <v>4</v>
      </c>
      <c r="Z108" s="206">
        <v>0</v>
      </c>
      <c r="AA108" s="208">
        <f ca="1">Table2[[#This Row],[End Date]]+2-TODAY()</f>
        <v>-68</v>
      </c>
      <c r="AB108" s="206">
        <f>IF(ISBLANK(#REF!),1,0)</f>
        <v>0</v>
      </c>
      <c r="AC108" s="206">
        <f ca="1">IF(Table2[[#This Row],[Start Date]]&gt;TODAY(),1,)</f>
        <v>0</v>
      </c>
    </row>
    <row r="109" spans="1:29" s="212" customFormat="1" ht="14.25" customHeight="1">
      <c r="A109" s="197"/>
      <c r="B109" s="198" t="s">
        <v>242</v>
      </c>
      <c r="C109" s="199" t="str">
        <f>VLOOKUP(Table2[[#This Row],[Course Title]],Data!$A$1:$E$56,2,FALSE)</f>
        <v>A-493-0061</v>
      </c>
      <c r="D109" s="199" t="str">
        <f>VLOOKUP(Table2[[#This Row],[Course Title]],Data!$A$1:$E$56,3,FALSE)</f>
        <v>288E</v>
      </c>
      <c r="E109" s="198" t="s">
        <v>116</v>
      </c>
      <c r="F109" s="201">
        <v>45327</v>
      </c>
      <c r="G109" s="201">
        <v>45331</v>
      </c>
      <c r="H109" s="201"/>
      <c r="I109" s="202">
        <v>0.79166666666666663</v>
      </c>
      <c r="J109" s="202">
        <v>0.66666666666666663</v>
      </c>
      <c r="K109" s="202">
        <v>0.125</v>
      </c>
      <c r="L109" s="202">
        <v>4.1666666666666664E-2</v>
      </c>
      <c r="M109" s="202">
        <v>0.58333333333333337</v>
      </c>
      <c r="N109" s="202">
        <v>0.375</v>
      </c>
      <c r="O109" s="204" t="e">
        <v>#REF!</v>
      </c>
      <c r="P109" s="204" t="e">
        <v>#REF!</v>
      </c>
      <c r="Q109" s="204"/>
      <c r="R109" s="197"/>
      <c r="S109" s="197"/>
      <c r="T109" s="206">
        <f>VLOOKUP(Table2[[#This Row],[Course Title]],Data!$A$1:$E$56,4,FALSE)</f>
        <v>45</v>
      </c>
      <c r="U109" s="206">
        <f>VLOOKUP(Table2[[#This Row],[Course Title]],Data!$A$1:$E$56,5,FALSE)</f>
        <v>5</v>
      </c>
      <c r="V109" s="206">
        <v>10</v>
      </c>
      <c r="W109" s="207">
        <v>0</v>
      </c>
      <c r="X109" s="206">
        <v>1</v>
      </c>
      <c r="Y109" s="206">
        <v>1</v>
      </c>
      <c r="Z109" s="206">
        <v>0</v>
      </c>
      <c r="AA109" s="208">
        <f ca="1">Table2[[#This Row],[End Date]]+2-TODAY()</f>
        <v>-66</v>
      </c>
      <c r="AB109" s="206">
        <f>IF(ISBLANK(#REF!),1,0)</f>
        <v>0</v>
      </c>
      <c r="AC109" s="206">
        <f ca="1">IF(Table2[[#This Row],[Start Date]]&gt;TODAY(),1,)</f>
        <v>0</v>
      </c>
    </row>
    <row r="110" spans="1:29" s="196" customFormat="1" ht="14.25" customHeight="1">
      <c r="A110" s="197"/>
      <c r="B110" s="198" t="s">
        <v>248</v>
      </c>
      <c r="C110" s="199" t="str">
        <f>VLOOKUP(Table2[[#This Row],[Course Title]],Data!$A$1:$E$56,2,FALSE)</f>
        <v>A-322-2604</v>
      </c>
      <c r="D110" s="199" t="str">
        <f>VLOOKUP(Table2[[#This Row],[Course Title]],Data!$A$1:$E$56,3,FALSE)</f>
        <v>10ZZ</v>
      </c>
      <c r="E110" s="198" t="s">
        <v>116</v>
      </c>
      <c r="F110" s="201">
        <v>45327</v>
      </c>
      <c r="G110" s="201">
        <v>45331</v>
      </c>
      <c r="H110" s="201"/>
      <c r="I110" s="202">
        <v>0.54166666666666663</v>
      </c>
      <c r="J110" s="202">
        <v>0.41666666666666669</v>
      </c>
      <c r="K110" s="202">
        <v>0.875</v>
      </c>
      <c r="L110" s="202">
        <v>0.79166666666666663</v>
      </c>
      <c r="M110" s="202">
        <v>0.33333333333333331</v>
      </c>
      <c r="N110" s="202">
        <v>0.125</v>
      </c>
      <c r="O110" s="218" t="e">
        <v>#REF!</v>
      </c>
      <c r="P110" s="213" t="e">
        <v>#REF!</v>
      </c>
      <c r="Q110" s="218"/>
      <c r="R110" s="215"/>
      <c r="S110" s="215"/>
      <c r="T110" s="206">
        <f>VLOOKUP(Table2[[#This Row],[Course Title]],Data!$A$1:$E$56,4,FALSE)</f>
        <v>45</v>
      </c>
      <c r="U110" s="206">
        <f>VLOOKUP(Table2[[#This Row],[Course Title]],Data!$A$1:$E$56,5,FALSE)</f>
        <v>5</v>
      </c>
      <c r="V110" s="206">
        <v>40</v>
      </c>
      <c r="W110" s="207">
        <v>1</v>
      </c>
      <c r="X110" s="206">
        <v>5</v>
      </c>
      <c r="Y110" s="206">
        <v>0</v>
      </c>
      <c r="Z110" s="206">
        <v>0</v>
      </c>
      <c r="AA110" s="208">
        <f ca="1">Table2[[#This Row],[End Date]]+2-TODAY()</f>
        <v>-66</v>
      </c>
      <c r="AB110" s="206">
        <f>IF(ISBLANK(#REF!),1,0)</f>
        <v>0</v>
      </c>
      <c r="AC110" s="206">
        <f ca="1">IF(Table2[[#This Row],[Start Date]]&gt;TODAY(),1,)</f>
        <v>0</v>
      </c>
    </row>
    <row r="111" spans="1:29" s="196" customFormat="1" ht="14.25" customHeight="1">
      <c r="A111" s="197"/>
      <c r="B111" s="198" t="s">
        <v>276</v>
      </c>
      <c r="C111" s="199" t="str">
        <f>VLOOKUP(Table2[[#This Row],[Course Title]],Data!$A$1:$E$56,2,FALSE)</f>
        <v>A-493-0550</v>
      </c>
      <c r="D111" s="199" t="str">
        <f>VLOOKUP(Table2[[#This Row],[Course Title]],Data!$A$1:$E$56,3,FALSE)</f>
        <v>09K5</v>
      </c>
      <c r="E111" s="198" t="s">
        <v>116</v>
      </c>
      <c r="F111" s="201">
        <v>45327</v>
      </c>
      <c r="G111" s="201">
        <v>45331</v>
      </c>
      <c r="H111" s="201"/>
      <c r="I111" s="202">
        <v>0.79166666666666663</v>
      </c>
      <c r="J111" s="202">
        <v>0.66666666666666663</v>
      </c>
      <c r="K111" s="202">
        <v>0.125</v>
      </c>
      <c r="L111" s="202">
        <v>4.1666666666666664E-2</v>
      </c>
      <c r="M111" s="202">
        <v>0.58333333333333337</v>
      </c>
      <c r="N111" s="202">
        <v>0.375</v>
      </c>
      <c r="O111" s="204" t="e">
        <v>#REF!</v>
      </c>
      <c r="P111" s="204" t="e">
        <v>#REF!</v>
      </c>
      <c r="Q111" s="205"/>
      <c r="R111" s="197"/>
      <c r="S111" s="197"/>
      <c r="T111" s="206">
        <f>VLOOKUP(Table2[[#This Row],[Course Title]],Data!$A$1:$E$56,4,FALSE)</f>
        <v>45</v>
      </c>
      <c r="U111" s="206">
        <f>VLOOKUP(Table2[[#This Row],[Course Title]],Data!$A$1:$E$56,5,FALSE)</f>
        <v>4</v>
      </c>
      <c r="V111" s="206">
        <v>36</v>
      </c>
      <c r="W111" s="207">
        <v>1</v>
      </c>
      <c r="X111" s="206">
        <v>8</v>
      </c>
      <c r="Y111" s="206">
        <v>2</v>
      </c>
      <c r="Z111" s="199">
        <v>0</v>
      </c>
      <c r="AA111" s="208">
        <f ca="1">Table2[[#This Row],[End Date]]+2-TODAY()</f>
        <v>-66</v>
      </c>
      <c r="AB111" s="206">
        <f>IF(ISBLANK(#REF!),1,0)</f>
        <v>0</v>
      </c>
      <c r="AC111" s="206">
        <f ca="1">IF(Table2[[#This Row],[Start Date]]&gt;TODAY(),1,)</f>
        <v>0</v>
      </c>
    </row>
    <row r="112" spans="1:29" s="196" customFormat="1" ht="14.25" customHeight="1">
      <c r="A112" s="197"/>
      <c r="B112" s="198" t="s">
        <v>287</v>
      </c>
      <c r="C112" s="199" t="str">
        <f>VLOOKUP(Table2[[#This Row],[Course Title]],Data!$A$1:$E$56,2,FALSE)</f>
        <v>A-493-0078</v>
      </c>
      <c r="D112" s="199">
        <f>VLOOKUP(Table2[[#This Row],[Course Title]],Data!$A$1:$E$56,3,FALSE)</f>
        <v>1228</v>
      </c>
      <c r="E112" s="198" t="s">
        <v>116</v>
      </c>
      <c r="F112" s="201">
        <v>45327</v>
      </c>
      <c r="G112" s="201">
        <v>45331</v>
      </c>
      <c r="H112" s="201"/>
      <c r="I112" s="202">
        <v>0.41666666666666669</v>
      </c>
      <c r="J112" s="202">
        <v>0.29166666666666669</v>
      </c>
      <c r="K112" s="202">
        <v>0.75</v>
      </c>
      <c r="L112" s="202">
        <v>0.66666666666666663</v>
      </c>
      <c r="M112" s="202">
        <v>0.20833333333333334</v>
      </c>
      <c r="N112" s="202">
        <v>0</v>
      </c>
      <c r="O112" s="213" t="e">
        <v>#REF!</v>
      </c>
      <c r="P112" s="213" t="e">
        <v>#REF!</v>
      </c>
      <c r="Q112" s="214"/>
      <c r="R112" s="215"/>
      <c r="S112" s="215"/>
      <c r="T112" s="206">
        <f>VLOOKUP(Table2[[#This Row],[Course Title]],Data!$A$1:$E$56,4,FALSE)</f>
        <v>45</v>
      </c>
      <c r="U112" s="206">
        <f>VLOOKUP(Table2[[#This Row],[Course Title]],Data!$A$1:$E$56,5,FALSE)</f>
        <v>5</v>
      </c>
      <c r="V112" s="206">
        <v>34</v>
      </c>
      <c r="W112" s="207">
        <v>0</v>
      </c>
      <c r="X112" s="206">
        <v>3</v>
      </c>
      <c r="Y112" s="206">
        <v>0</v>
      </c>
      <c r="Z112" s="206">
        <v>0</v>
      </c>
      <c r="AA112" s="208">
        <f ca="1">Table2[[#This Row],[End Date]]+2-TODAY()</f>
        <v>-66</v>
      </c>
      <c r="AB112" s="206">
        <f>IF(ISBLANK(#REF!),1,0)</f>
        <v>0</v>
      </c>
      <c r="AC112" s="206">
        <f ca="1">IF(Table2[[#This Row],[Start Date]]&gt;TODAY(),1,)</f>
        <v>0</v>
      </c>
    </row>
    <row r="113" spans="1:29" s="196" customFormat="1" ht="14.25" customHeight="1">
      <c r="A113" s="197"/>
      <c r="B113" s="216" t="s">
        <v>321</v>
      </c>
      <c r="C113" s="199" t="str">
        <f>VLOOKUP(Table2[[#This Row],[Course Title]],Data!$A$1:$E$56,2,FALSE)</f>
        <v>F-4J-0023</v>
      </c>
      <c r="D113" s="199" t="str">
        <f>VLOOKUP(Table2[[#This Row],[Course Title]],Data!$A$1:$E$56,3,FALSE)</f>
        <v>11A2</v>
      </c>
      <c r="E113" s="198" t="s">
        <v>116</v>
      </c>
      <c r="F113" s="201">
        <v>45327</v>
      </c>
      <c r="G113" s="201">
        <v>45331</v>
      </c>
      <c r="H113" s="201"/>
      <c r="I113" s="202">
        <v>0.54166666666666663</v>
      </c>
      <c r="J113" s="202">
        <v>0.41666666666666669</v>
      </c>
      <c r="K113" s="202">
        <v>0.875</v>
      </c>
      <c r="L113" s="202">
        <v>0.79166666666666663</v>
      </c>
      <c r="M113" s="202">
        <v>0.33333333333333331</v>
      </c>
      <c r="N113" s="202">
        <v>0.125</v>
      </c>
      <c r="O113" s="218" t="e">
        <v>#REF!</v>
      </c>
      <c r="P113" s="213" t="e">
        <v>#REF!</v>
      </c>
      <c r="Q113" s="218"/>
      <c r="R113" s="215"/>
      <c r="S113" s="215"/>
      <c r="T113" s="206">
        <f>VLOOKUP(Table2[[#This Row],[Course Title]],Data!$A$1:$E$56,4,FALSE)</f>
        <v>25</v>
      </c>
      <c r="U113" s="206">
        <f>VLOOKUP(Table2[[#This Row],[Course Title]],Data!$A$1:$E$56,5,FALSE)</f>
        <v>2</v>
      </c>
      <c r="V113" s="206">
        <v>7</v>
      </c>
      <c r="W113" s="207">
        <v>0</v>
      </c>
      <c r="X113" s="206">
        <v>4</v>
      </c>
      <c r="Y113" s="206">
        <v>0</v>
      </c>
      <c r="Z113" s="204">
        <v>0</v>
      </c>
      <c r="AA113" s="208">
        <f ca="1">Table2[[#This Row],[End Date]]+2-TODAY()</f>
        <v>-66</v>
      </c>
      <c r="AB113" s="206">
        <f>IF(ISBLANK(#REF!),1,0)</f>
        <v>0</v>
      </c>
      <c r="AC113" s="206">
        <f ca="1">IF(Table2[[#This Row],[Start Date]]&gt;TODAY(),1,)</f>
        <v>0</v>
      </c>
    </row>
    <row r="114" spans="1:29" s="196" customFormat="1" ht="14.25" customHeight="1">
      <c r="A114" s="197"/>
      <c r="B114" s="198" t="s">
        <v>40</v>
      </c>
      <c r="C114" s="199" t="str">
        <f>VLOOKUP(Table2[[#This Row],[Course Title]],Data!$A$1:$E$56,2,FALSE)</f>
        <v>A-493-2017</v>
      </c>
      <c r="D114" s="199" t="str">
        <f>VLOOKUP(Table2[[#This Row],[Course Title]],Data!$A$1:$E$56,3,FALSE)</f>
        <v>12x3</v>
      </c>
      <c r="E114" s="237" t="s">
        <v>193</v>
      </c>
      <c r="F114" s="200">
        <v>45327</v>
      </c>
      <c r="G114" s="200">
        <v>45331</v>
      </c>
      <c r="H114" s="210">
        <v>0.33333333333333331</v>
      </c>
      <c r="I114" s="210"/>
      <c r="J114" s="201"/>
      <c r="K114" s="201"/>
      <c r="L114" s="201"/>
      <c r="M114" s="201"/>
      <c r="N114" s="201"/>
      <c r="O114" s="218" t="e">
        <v>#REF!</v>
      </c>
      <c r="P114" s="213" t="e">
        <v>#REF!</v>
      </c>
      <c r="Q114" s="218"/>
      <c r="R114" s="215"/>
      <c r="S114" s="215"/>
      <c r="T114" s="206">
        <f>VLOOKUP(Table2[[#This Row],[Course Title]],Data!$A$1:$E$56,4,FALSE)</f>
        <v>25</v>
      </c>
      <c r="U114" s="206">
        <f>VLOOKUP(Table2[[#This Row],[Course Title]],Data!$A$1:$E$56,5,FALSE)</f>
        <v>2</v>
      </c>
      <c r="V114" s="206">
        <v>25</v>
      </c>
      <c r="W114" s="207">
        <v>0</v>
      </c>
      <c r="X114" s="206">
        <v>8</v>
      </c>
      <c r="Y114" s="206">
        <v>9</v>
      </c>
      <c r="Z114" s="206">
        <v>0</v>
      </c>
      <c r="AA114" s="208">
        <f ca="1">Table2[[#This Row],[End Date]]+2-TODAY()</f>
        <v>-66</v>
      </c>
      <c r="AB114" s="206">
        <f>IF(ISBLANK(#REF!),1,0)</f>
        <v>0</v>
      </c>
      <c r="AC114" s="206">
        <f ca="1">IF(Table2[[#This Row],[Start Date]]&gt;TODAY(),1,)</f>
        <v>0</v>
      </c>
    </row>
    <row r="115" spans="1:29" s="196" customFormat="1" ht="14.25" customHeight="1">
      <c r="A115" s="197"/>
      <c r="B115" s="209" t="s">
        <v>23</v>
      </c>
      <c r="C115" s="199" t="str">
        <f>VLOOKUP(Table2[[#This Row],[Course Title]],Data!$A$1:$E$56,2,FALSE)</f>
        <v>A-493-0077</v>
      </c>
      <c r="D115" s="199" t="str">
        <f>VLOOKUP(Table2[[#This Row],[Course Title]],Data!$A$1:$E$56,3,FALSE)</f>
        <v>0381</v>
      </c>
      <c r="E115" s="209" t="s">
        <v>103</v>
      </c>
      <c r="F115" s="200">
        <v>45327</v>
      </c>
      <c r="G115" s="200">
        <v>45329</v>
      </c>
      <c r="H115" s="202">
        <v>0.33333333333333331</v>
      </c>
      <c r="I115" s="202"/>
      <c r="J115" s="201"/>
      <c r="K115" s="201"/>
      <c r="L115" s="201"/>
      <c r="M115" s="201"/>
      <c r="N115" s="201"/>
      <c r="O115" s="207" t="e">
        <v>#REF!</v>
      </c>
      <c r="P115" s="204" t="e">
        <v>#REF!</v>
      </c>
      <c r="Q115" s="207"/>
      <c r="R115" s="197"/>
      <c r="S115" s="197"/>
      <c r="T115" s="206">
        <f>VLOOKUP(Table2[[#This Row],[Course Title]],Data!$A$1:$E$56,4,FALSE)</f>
        <v>25</v>
      </c>
      <c r="U115" s="206">
        <f>VLOOKUP(Table2[[#This Row],[Course Title]],Data!$A$1:$E$56,5,FALSE)</f>
        <v>3</v>
      </c>
      <c r="V115" s="206">
        <v>19</v>
      </c>
      <c r="W115" s="207">
        <v>0</v>
      </c>
      <c r="X115" s="206">
        <v>5</v>
      </c>
      <c r="Y115" s="206">
        <v>0</v>
      </c>
      <c r="Z115" s="206">
        <v>0</v>
      </c>
      <c r="AA115" s="208">
        <f ca="1">Table2[[#This Row],[End Date]]+2-TODAY()</f>
        <v>-68</v>
      </c>
      <c r="AB115" s="206">
        <f>IF(ISBLANK(#REF!),1,0)</f>
        <v>0</v>
      </c>
      <c r="AC115" s="206">
        <f ca="1">IF(Table2[[#This Row],[Start Date]]&gt;TODAY(),1,)</f>
        <v>0</v>
      </c>
    </row>
    <row r="116" spans="1:29" s="196" customFormat="1" ht="14.25" customHeight="1">
      <c r="A116" s="197"/>
      <c r="B116" s="198" t="s">
        <v>17</v>
      </c>
      <c r="C116" s="199" t="str">
        <f>VLOOKUP(Table2[[#This Row],[Course Title]],Data!$A$1:$E$56,2,FALSE)</f>
        <v>A-493-0012</v>
      </c>
      <c r="D116" s="199">
        <f>VLOOKUP(Table2[[#This Row],[Course Title]],Data!$A$1:$E$56,3,FALSE)</f>
        <v>3682</v>
      </c>
      <c r="E116" s="198" t="s">
        <v>126</v>
      </c>
      <c r="F116" s="201">
        <v>45327</v>
      </c>
      <c r="G116" s="201">
        <v>45331</v>
      </c>
      <c r="H116" s="203">
        <v>0.33333333333333331</v>
      </c>
      <c r="I116" s="203"/>
      <c r="J116" s="203"/>
      <c r="K116" s="203"/>
      <c r="L116" s="203"/>
      <c r="M116" s="203"/>
      <c r="N116" s="201"/>
      <c r="O116" s="213" t="e">
        <v>#REF!</v>
      </c>
      <c r="P116" s="213" t="e">
        <v>#REF!</v>
      </c>
      <c r="Q116" s="214"/>
      <c r="R116" s="215"/>
      <c r="S116" s="215"/>
      <c r="T116" s="206">
        <f>VLOOKUP(Table2[[#This Row],[Course Title]],Data!$A$1:$E$56,4,FALSE)</f>
        <v>40</v>
      </c>
      <c r="U116" s="206">
        <f>VLOOKUP(Table2[[#This Row],[Course Title]],Data!$A$1:$E$56,5,FALSE)</f>
        <v>5</v>
      </c>
      <c r="V116" s="206">
        <v>28</v>
      </c>
      <c r="W116" s="207">
        <v>0</v>
      </c>
      <c r="X116" s="206">
        <v>0</v>
      </c>
      <c r="Y116" s="206">
        <v>0</v>
      </c>
      <c r="Z116" s="206">
        <v>0</v>
      </c>
      <c r="AA116" s="208">
        <f ca="1">Table2[[#This Row],[End Date]]+2-TODAY()</f>
        <v>-66</v>
      </c>
      <c r="AB116" s="206">
        <f>IF(ISBLANK(#REF!),1,0)</f>
        <v>0</v>
      </c>
      <c r="AC116" s="206">
        <f ca="1">IF(Table2[[#This Row],[Start Date]]&gt;TODAY(),1,)</f>
        <v>0</v>
      </c>
    </row>
    <row r="117" spans="1:29" s="196" customFormat="1" ht="14.25" customHeight="1">
      <c r="A117" s="197"/>
      <c r="B117" s="198" t="s">
        <v>19</v>
      </c>
      <c r="C117" s="199" t="str">
        <f>VLOOKUP(Table2[[#This Row],[Course Title]],Data!$A$1:$E$56,2,FALSE)</f>
        <v>A-493-0099</v>
      </c>
      <c r="D117" s="199" t="str">
        <f>VLOOKUP(Table2[[#This Row],[Course Title]],Data!$A$1:$E$56,3,FALSE)</f>
        <v>12JW</v>
      </c>
      <c r="E117" s="198" t="s">
        <v>116</v>
      </c>
      <c r="F117" s="201">
        <v>45328</v>
      </c>
      <c r="G117" s="201">
        <v>45330</v>
      </c>
      <c r="H117" s="201"/>
      <c r="I117" s="202">
        <v>0.33333333333333331</v>
      </c>
      <c r="J117" s="202">
        <v>0.20833333333333334</v>
      </c>
      <c r="K117" s="202">
        <v>0.66666666666666663</v>
      </c>
      <c r="L117" s="202">
        <v>0.58333333333333337</v>
      </c>
      <c r="M117" s="202">
        <v>0.125</v>
      </c>
      <c r="N117" s="202">
        <v>0.91666666666666663</v>
      </c>
      <c r="O117" s="204" t="e">
        <v>#REF!</v>
      </c>
      <c r="P117" s="204" t="e">
        <v>#REF!</v>
      </c>
      <c r="Q117" s="205"/>
      <c r="R117" s="197"/>
      <c r="S117" s="197"/>
      <c r="T117" s="206">
        <f>VLOOKUP(Table2[[#This Row],[Course Title]],Data!$A$1:$E$56,4,FALSE)</f>
        <v>45</v>
      </c>
      <c r="U117" s="206">
        <f>VLOOKUP(Table2[[#This Row],[Course Title]],Data!$A$1:$E$56,5,FALSE)</f>
        <v>3</v>
      </c>
      <c r="V117" s="206">
        <v>32</v>
      </c>
      <c r="W117" s="207">
        <v>0</v>
      </c>
      <c r="X117" s="206">
        <v>5</v>
      </c>
      <c r="Y117" s="206">
        <v>0</v>
      </c>
      <c r="Z117" s="206">
        <v>0</v>
      </c>
      <c r="AA117" s="208">
        <f ca="1">Table2[[#This Row],[End Date]]+2-TODAY()</f>
        <v>-67</v>
      </c>
      <c r="AB117" s="206">
        <f>IF(ISBLANK(#REF!),1,0)</f>
        <v>0</v>
      </c>
      <c r="AC117" s="206">
        <f ca="1">IF(Table2[[#This Row],[Start Date]]&gt;TODAY(),1,)</f>
        <v>0</v>
      </c>
    </row>
    <row r="118" spans="1:29" s="211" customFormat="1" ht="14.25" customHeight="1">
      <c r="A118" s="197"/>
      <c r="B118" s="198" t="s">
        <v>20</v>
      </c>
      <c r="C118" s="199" t="str">
        <f>VLOOKUP(Table2[[#This Row],[Course Title]],Data!$A$1:$E$56,2,FALSE)</f>
        <v xml:space="preserve">A-493-0075 </v>
      </c>
      <c r="D118" s="199" t="str">
        <f>VLOOKUP(Table2[[#This Row],[Course Title]],Data!$A$1:$E$56,3,FALSE)</f>
        <v>714U</v>
      </c>
      <c r="E118" s="198" t="s">
        <v>150</v>
      </c>
      <c r="F118" s="201">
        <v>45328</v>
      </c>
      <c r="G118" s="201">
        <v>45331</v>
      </c>
      <c r="H118" s="203">
        <v>0.33333333333333331</v>
      </c>
      <c r="I118" s="203"/>
      <c r="J118" s="201"/>
      <c r="K118" s="201"/>
      <c r="L118" s="201"/>
      <c r="M118" s="201"/>
      <c r="N118" s="201"/>
      <c r="O118" s="204" t="e">
        <v>#REF!</v>
      </c>
      <c r="P118" s="204" t="e">
        <v>#REF!</v>
      </c>
      <c r="Q118" s="205"/>
      <c r="R118" s="197"/>
      <c r="S118" s="197"/>
      <c r="T118" s="206">
        <f>VLOOKUP(Table2[[#This Row],[Course Title]],Data!$A$1:$E$56,4,FALSE)</f>
        <v>30</v>
      </c>
      <c r="U118" s="206">
        <f>VLOOKUP(Table2[[#This Row],[Course Title]],Data!$A$1:$E$56,5,FALSE)</f>
        <v>4</v>
      </c>
      <c r="V118" s="206">
        <v>8</v>
      </c>
      <c r="W118" s="207">
        <v>0</v>
      </c>
      <c r="X118" s="206">
        <v>1</v>
      </c>
      <c r="Y118" s="206">
        <v>0</v>
      </c>
      <c r="Z118" s="206">
        <v>0</v>
      </c>
      <c r="AA118" s="208">
        <f ca="1">Table2[[#This Row],[End Date]]+2-TODAY()</f>
        <v>-66</v>
      </c>
      <c r="AB118" s="206">
        <f>IF(ISBLANK(#REF!),1,0)</f>
        <v>0</v>
      </c>
      <c r="AC118" s="206">
        <f ca="1">IF(Table2[[#This Row],[Start Date]]&gt;TODAY(),1,)</f>
        <v>0</v>
      </c>
    </row>
    <row r="119" spans="1:29" s="196" customFormat="1" ht="14.25" customHeight="1">
      <c r="A119" s="198"/>
      <c r="B119" s="198" t="s">
        <v>266</v>
      </c>
      <c r="C119" s="199" t="str">
        <f>VLOOKUP(Table2[[#This Row],[Course Title]],Data!$A$1:$E$56,2,FALSE)</f>
        <v>A-493-0331</v>
      </c>
      <c r="D119" s="199" t="str">
        <f>VLOOKUP(Table2[[#This Row],[Course Title]],Data!$A$1:$E$56,3,FALSE)</f>
        <v>10UG</v>
      </c>
      <c r="E119" s="198" t="s">
        <v>116</v>
      </c>
      <c r="F119" s="201">
        <v>45328</v>
      </c>
      <c r="G119" s="201">
        <v>45330</v>
      </c>
      <c r="H119" s="201"/>
      <c r="I119" s="202">
        <v>0.5</v>
      </c>
      <c r="J119" s="202">
        <v>0.375</v>
      </c>
      <c r="K119" s="202">
        <v>0.83333333333333337</v>
      </c>
      <c r="L119" s="202">
        <v>0.75</v>
      </c>
      <c r="M119" s="202">
        <v>0.29166666666666669</v>
      </c>
      <c r="N119" s="202">
        <v>8.3333333333333329E-2</v>
      </c>
      <c r="O119" s="213" t="e">
        <v>#REF!</v>
      </c>
      <c r="P119" s="213" t="e">
        <v>#REF!</v>
      </c>
      <c r="Q119" s="214"/>
      <c r="R119" s="215"/>
      <c r="S119" s="215"/>
      <c r="T119" s="206">
        <f>VLOOKUP(Table2[[#This Row],[Course Title]],Data!$A$1:$E$56,4,FALSE)</f>
        <v>40</v>
      </c>
      <c r="U119" s="206">
        <f>VLOOKUP(Table2[[#This Row],[Course Title]],Data!$A$1:$E$56,5,FALSE)</f>
        <v>3</v>
      </c>
      <c r="V119" s="206">
        <v>33</v>
      </c>
      <c r="W119" s="207">
        <v>0</v>
      </c>
      <c r="X119" s="206">
        <v>8</v>
      </c>
      <c r="Y119" s="206">
        <v>0</v>
      </c>
      <c r="Z119" s="206">
        <v>0</v>
      </c>
      <c r="AA119" s="208">
        <f ca="1">Table2[[#This Row],[End Date]]+2-TODAY()</f>
        <v>-67</v>
      </c>
      <c r="AB119" s="206">
        <f>IF(ISBLANK(#REF!),1,0)</f>
        <v>0</v>
      </c>
      <c r="AC119" s="206">
        <f ca="1">IF(Table2[[#This Row],[Start Date]]&gt;TODAY(),1,)</f>
        <v>0</v>
      </c>
    </row>
    <row r="120" spans="1:29" s="196" customFormat="1" ht="14.25" customHeight="1">
      <c r="A120" s="197"/>
      <c r="B120" s="198" t="s">
        <v>24</v>
      </c>
      <c r="C120" s="199" t="str">
        <f>VLOOKUP(Table2[[#This Row],[Course Title]],Data!$A$1:$E$56,2,FALSE)</f>
        <v>A-493-0083</v>
      </c>
      <c r="D120" s="199" t="str">
        <f>VLOOKUP(Table2[[#This Row],[Course Title]],Data!$A$1:$E$56,3,FALSE)</f>
        <v>339E</v>
      </c>
      <c r="E120" s="209" t="s">
        <v>103</v>
      </c>
      <c r="F120" s="200">
        <v>45330</v>
      </c>
      <c r="G120" s="200">
        <v>45330</v>
      </c>
      <c r="H120" s="202">
        <v>0.33333333333333331</v>
      </c>
      <c r="I120" s="202"/>
      <c r="J120" s="201"/>
      <c r="K120" s="201"/>
      <c r="L120" s="201"/>
      <c r="M120" s="201"/>
      <c r="N120" s="201"/>
      <c r="O120" s="218" t="e">
        <v>#REF!</v>
      </c>
      <c r="P120" s="213" t="e">
        <v>#REF!</v>
      </c>
      <c r="Q120" s="218"/>
      <c r="R120" s="215"/>
      <c r="S120" s="215"/>
      <c r="T120" s="206">
        <f>VLOOKUP(Table2[[#This Row],[Course Title]],Data!$A$1:$E$56,4,FALSE)</f>
        <v>30</v>
      </c>
      <c r="U120" s="206">
        <f>VLOOKUP(Table2[[#This Row],[Course Title]],Data!$A$1:$E$56,5,FALSE)</f>
        <v>1</v>
      </c>
      <c r="V120" s="206">
        <v>30</v>
      </c>
      <c r="W120" s="207">
        <v>0</v>
      </c>
      <c r="X120" s="206">
        <v>1</v>
      </c>
      <c r="Y120" s="206">
        <v>1</v>
      </c>
      <c r="Z120" s="206">
        <v>0</v>
      </c>
      <c r="AA120" s="208">
        <f ca="1">Table2[[#This Row],[End Date]]+2-TODAY()</f>
        <v>-67</v>
      </c>
      <c r="AB120" s="206">
        <f>IF(ISBLANK(#REF!),1,0)</f>
        <v>0</v>
      </c>
      <c r="AC120" s="206">
        <f ca="1">IF(Table2[[#This Row],[Start Date]]&gt;TODAY(),1,)</f>
        <v>0</v>
      </c>
    </row>
    <row r="121" spans="1:29" s="196" customFormat="1" ht="14.25" customHeight="1">
      <c r="A121" s="197"/>
      <c r="B121" s="198" t="s">
        <v>18</v>
      </c>
      <c r="C121" s="199" t="str">
        <f>VLOOKUP(Table2[[#This Row],[Course Title]],Data!$A$1:$E$56,2,FALSE)</f>
        <v>A-493-0013</v>
      </c>
      <c r="D121" s="199">
        <f>VLOOKUP(Table2[[#This Row],[Course Title]],Data!$A$1:$E$56,3,FALSE)</f>
        <v>3683</v>
      </c>
      <c r="E121" s="198" t="s">
        <v>157</v>
      </c>
      <c r="F121" s="201">
        <v>45330</v>
      </c>
      <c r="G121" s="201">
        <v>45332</v>
      </c>
      <c r="H121" s="203">
        <v>0.33333333333333331</v>
      </c>
      <c r="I121" s="203"/>
      <c r="J121" s="203"/>
      <c r="K121" s="203"/>
      <c r="L121" s="203"/>
      <c r="M121" s="203"/>
      <c r="N121" s="201"/>
      <c r="O121" s="213" t="e">
        <v>#REF!</v>
      </c>
      <c r="P121" s="213" t="e">
        <v>#REF!</v>
      </c>
      <c r="Q121" s="214"/>
      <c r="R121" s="215"/>
      <c r="S121" s="215"/>
      <c r="T121" s="206">
        <f>VLOOKUP(Table2[[#This Row],[Course Title]],Data!$A$1:$E$56,4,FALSE)</f>
        <v>40</v>
      </c>
      <c r="U121" s="206">
        <v>3</v>
      </c>
      <c r="V121" s="206">
        <v>9</v>
      </c>
      <c r="W121" s="207">
        <v>0</v>
      </c>
      <c r="X121" s="206">
        <v>1</v>
      </c>
      <c r="Y121" s="206">
        <v>4</v>
      </c>
      <c r="Z121" s="206">
        <v>0</v>
      </c>
      <c r="AA121" s="208">
        <f ca="1">Table2[[#This Row],[End Date]]+2-TODAY()</f>
        <v>-65</v>
      </c>
      <c r="AB121" s="206">
        <f>IF(ISBLANK(#REF!),1,0)</f>
        <v>0</v>
      </c>
      <c r="AC121" s="206">
        <f ca="1">IF(Table2[[#This Row],[Start Date]]&gt;TODAY(),1,)</f>
        <v>0</v>
      </c>
    </row>
    <row r="122" spans="1:29" s="196" customFormat="1" ht="14.25" customHeight="1">
      <c r="A122" s="198"/>
      <c r="B122" s="198" t="s">
        <v>34</v>
      </c>
      <c r="C122" s="199" t="str">
        <f>VLOOKUP(Table2[[#This Row],[Course Title]],Data!$A$1:$E$56,2,FALSE)</f>
        <v>A-493-0085</v>
      </c>
      <c r="D122" s="199">
        <f>VLOOKUP(Table2[[#This Row],[Course Title]],Data!$A$1:$E$56,3,FALSE)</f>
        <v>3555</v>
      </c>
      <c r="E122" s="198" t="s">
        <v>116</v>
      </c>
      <c r="F122" s="201">
        <v>45334</v>
      </c>
      <c r="G122" s="201">
        <v>45337</v>
      </c>
      <c r="H122" s="201"/>
      <c r="I122" s="202">
        <v>0.5</v>
      </c>
      <c r="J122" s="202">
        <v>0.375</v>
      </c>
      <c r="K122" s="202">
        <v>0.79166666666666663</v>
      </c>
      <c r="L122" s="202">
        <v>0.70833333333333337</v>
      </c>
      <c r="M122" s="202">
        <v>0.25</v>
      </c>
      <c r="N122" s="202">
        <v>4.1666666666666664E-2</v>
      </c>
      <c r="O122" s="213" t="e">
        <v>#REF!</v>
      </c>
      <c r="P122" s="213" t="e">
        <v>#REF!</v>
      </c>
      <c r="Q122" s="214"/>
      <c r="R122" s="215"/>
      <c r="S122" s="215"/>
      <c r="T122" s="206">
        <f>VLOOKUP(Table2[[#This Row],[Course Title]],Data!$A$1:$E$56,4,FALSE)</f>
        <v>30</v>
      </c>
      <c r="U122" s="206">
        <f>VLOOKUP(Table2[[#This Row],[Course Title]],Data!$A$1:$E$56,5,FALSE)</f>
        <v>4</v>
      </c>
      <c r="V122" s="206">
        <v>27</v>
      </c>
      <c r="W122" s="207">
        <v>1</v>
      </c>
      <c r="X122" s="206">
        <v>2</v>
      </c>
      <c r="Y122" s="206">
        <v>0</v>
      </c>
      <c r="Z122" s="206">
        <v>0</v>
      </c>
      <c r="AA122" s="208">
        <f ca="1">Table2[[#This Row],[End Date]]+2-TODAY()</f>
        <v>-60</v>
      </c>
      <c r="AB122" s="206">
        <f>IF(ISBLANK(#REF!),1,0)</f>
        <v>0</v>
      </c>
      <c r="AC122" s="206">
        <f ca="1">IF(Table2[[#This Row],[Start Date]]&gt;TODAY(),1,)</f>
        <v>0</v>
      </c>
    </row>
    <row r="123" spans="1:29" s="196" customFormat="1" ht="14.25" customHeight="1">
      <c r="A123" s="197"/>
      <c r="B123" s="198" t="s">
        <v>24</v>
      </c>
      <c r="C123" s="199" t="str">
        <f>VLOOKUP(Table2[[#This Row],[Course Title]],Data!$A$1:$E$56,2,FALSE)</f>
        <v>A-493-0083</v>
      </c>
      <c r="D123" s="199" t="str">
        <f>VLOOKUP(Table2[[#This Row],[Course Title]],Data!$A$1:$E$56,3,FALSE)</f>
        <v>339E</v>
      </c>
      <c r="E123" s="198" t="s">
        <v>116</v>
      </c>
      <c r="F123" s="200">
        <v>45334</v>
      </c>
      <c r="G123" s="200">
        <v>45334</v>
      </c>
      <c r="H123" s="200"/>
      <c r="I123" s="202">
        <v>1100.4583333333333</v>
      </c>
      <c r="J123" s="202">
        <v>1100.3333333333333</v>
      </c>
      <c r="K123" s="202">
        <v>0.79166666666666663</v>
      </c>
      <c r="L123" s="202">
        <v>0.70833333333333337</v>
      </c>
      <c r="M123" s="202">
        <v>0.25</v>
      </c>
      <c r="N123" s="202">
        <v>4.1666666666666664E-2</v>
      </c>
      <c r="O123" s="218" t="e">
        <v>#REF!</v>
      </c>
      <c r="P123" s="213" t="e">
        <v>#REF!</v>
      </c>
      <c r="Q123" s="218"/>
      <c r="R123" s="215"/>
      <c r="S123" s="215"/>
      <c r="T123" s="206">
        <f>VLOOKUP(Table2[[#This Row],[Course Title]],Data!$A$1:$E$56,4,FALSE)</f>
        <v>30</v>
      </c>
      <c r="U123" s="206">
        <f>VLOOKUP(Table2[[#This Row],[Course Title]],Data!$A$1:$E$56,5,FALSE)</f>
        <v>1</v>
      </c>
      <c r="V123" s="206">
        <v>29</v>
      </c>
      <c r="W123" s="207">
        <v>0</v>
      </c>
      <c r="X123" s="206">
        <v>3</v>
      </c>
      <c r="Y123" s="206">
        <v>0</v>
      </c>
      <c r="Z123" s="206">
        <v>0</v>
      </c>
      <c r="AA123" s="208">
        <f ca="1">Table2[[#This Row],[End Date]]+2-TODAY()</f>
        <v>-63</v>
      </c>
      <c r="AB123" s="206">
        <f>IF(ISBLANK(#REF!),1,0)</f>
        <v>0</v>
      </c>
      <c r="AC123" s="206">
        <f ca="1">IF(Table2[[#This Row],[Start Date]]&gt;TODAY(),1,)</f>
        <v>0</v>
      </c>
    </row>
    <row r="124" spans="1:29" s="196" customFormat="1" ht="14.25" customHeight="1">
      <c r="A124" s="197"/>
      <c r="B124" s="198" t="s">
        <v>184</v>
      </c>
      <c r="C124" s="199" t="str">
        <f>VLOOKUP(Table2[[#This Row],[Course Title]],Data!$A$1:$E$56,2,FALSE)</f>
        <v>A-4J-0022</v>
      </c>
      <c r="D124" s="199" t="str">
        <f>VLOOKUP(Table2[[#This Row],[Course Title]],Data!$A$1:$E$56,3,FALSE)</f>
        <v>09ER</v>
      </c>
      <c r="E124" s="198" t="s">
        <v>116</v>
      </c>
      <c r="F124" s="200">
        <v>45334</v>
      </c>
      <c r="G124" s="201">
        <v>45338</v>
      </c>
      <c r="H124" s="201"/>
      <c r="I124" s="202">
        <v>0.54166666666666663</v>
      </c>
      <c r="J124" s="202">
        <v>0.41666666666666669</v>
      </c>
      <c r="K124" s="202">
        <v>0.875</v>
      </c>
      <c r="L124" s="202">
        <v>0.79166666666666663</v>
      </c>
      <c r="M124" s="202">
        <v>0.33333333333333331</v>
      </c>
      <c r="N124" s="202">
        <v>0.125</v>
      </c>
      <c r="O124" s="218" t="e">
        <v>#REF!</v>
      </c>
      <c r="P124" s="213" t="e">
        <v>#REF!</v>
      </c>
      <c r="Q124" s="218"/>
      <c r="R124" s="215"/>
      <c r="S124" s="215"/>
      <c r="T124" s="206">
        <f>VLOOKUP(Table2[[#This Row],[Course Title]],Data!$A$1:$E$56,4,FALSE)</f>
        <v>45</v>
      </c>
      <c r="U124" s="206">
        <f>VLOOKUP(Table2[[#This Row],[Course Title]],Data!$A$1:$E$56,5,FALSE)</f>
        <v>5</v>
      </c>
      <c r="V124" s="206">
        <v>24</v>
      </c>
      <c r="W124" s="207">
        <v>1</v>
      </c>
      <c r="X124" s="206">
        <v>7</v>
      </c>
      <c r="Y124" s="206">
        <v>0</v>
      </c>
      <c r="Z124" s="206">
        <v>0</v>
      </c>
      <c r="AA124" s="208">
        <f ca="1">Table2[[#This Row],[End Date]]+2-TODAY()</f>
        <v>-59</v>
      </c>
      <c r="AB124" s="206">
        <f>IF(ISBLANK(#REF!),1,0)</f>
        <v>0</v>
      </c>
      <c r="AC124" s="206">
        <f ca="1">IF(Table2[[#This Row],[Start Date]]&gt;TODAY(),1,)</f>
        <v>0</v>
      </c>
    </row>
    <row r="125" spans="1:29" s="196" customFormat="1" ht="14.25" customHeight="1">
      <c r="A125" s="197"/>
      <c r="B125" s="198" t="s">
        <v>236</v>
      </c>
      <c r="C125" s="199" t="str">
        <f>VLOOKUP(Table2[[#This Row],[Course Title]],Data!$A$1:$E$56,2,FALSE)</f>
        <v>A-493-0103</v>
      </c>
      <c r="D125" s="199" t="str">
        <f>VLOOKUP(Table2[[#This Row],[Course Title]],Data!$A$1:$E$56,3,FALSE)</f>
        <v>12JY</v>
      </c>
      <c r="E125" s="198" t="s">
        <v>133</v>
      </c>
      <c r="F125" s="201">
        <v>45334</v>
      </c>
      <c r="G125" s="201">
        <v>45338</v>
      </c>
      <c r="H125" s="203">
        <v>0.33333333333333331</v>
      </c>
      <c r="I125" s="203"/>
      <c r="J125" s="201"/>
      <c r="K125" s="201"/>
      <c r="L125" s="201"/>
      <c r="M125" s="201"/>
      <c r="N125" s="201"/>
      <c r="O125" s="204" t="e">
        <v>#REF!</v>
      </c>
      <c r="P125" s="204" t="e">
        <v>#REF!</v>
      </c>
      <c r="Q125" s="205"/>
      <c r="R125" s="197"/>
      <c r="S125" s="197"/>
      <c r="T125" s="206">
        <f>VLOOKUP(Table2[[#This Row],[Course Title]],Data!$A$1:$E$56,4,FALSE)</f>
        <v>25</v>
      </c>
      <c r="U125" s="206">
        <f>VLOOKUP(Table2[[#This Row],[Course Title]],Data!$A$1:$E$56,5,FALSE)</f>
        <v>5</v>
      </c>
      <c r="V125" s="206">
        <v>24</v>
      </c>
      <c r="W125" s="207">
        <v>0</v>
      </c>
      <c r="X125" s="206">
        <v>3</v>
      </c>
      <c r="Y125" s="206">
        <v>2</v>
      </c>
      <c r="Z125" s="206">
        <v>0</v>
      </c>
      <c r="AA125" s="208">
        <f ca="1">Table2[[#This Row],[End Date]]+2-TODAY()</f>
        <v>-59</v>
      </c>
      <c r="AB125" s="206">
        <f>IF(ISBLANK(#REF!),1,0)</f>
        <v>0</v>
      </c>
      <c r="AC125" s="206">
        <f ca="1">IF(Table2[[#This Row],[Start Date]]&gt;TODAY(),1,)</f>
        <v>0</v>
      </c>
    </row>
    <row r="126" spans="1:29" s="196" customFormat="1" ht="14.25" customHeight="1">
      <c r="A126" s="197"/>
      <c r="B126" s="198" t="s">
        <v>20</v>
      </c>
      <c r="C126" s="199" t="str">
        <f>VLOOKUP(Table2[[#This Row],[Course Title]],Data!$A$1:$E$56,2,FALSE)</f>
        <v xml:space="preserve">A-493-0075 </v>
      </c>
      <c r="D126" s="199" t="str">
        <f>VLOOKUP(Table2[[#This Row],[Course Title]],Data!$A$1:$E$56,3,FALSE)</f>
        <v>714U</v>
      </c>
      <c r="E126" s="198" t="s">
        <v>109</v>
      </c>
      <c r="F126" s="201">
        <v>45334</v>
      </c>
      <c r="G126" s="201">
        <v>45337</v>
      </c>
      <c r="H126" s="203">
        <v>0.33333333333333331</v>
      </c>
      <c r="I126" s="203"/>
      <c r="J126" s="201"/>
      <c r="K126" s="201"/>
      <c r="L126" s="201"/>
      <c r="M126" s="201"/>
      <c r="N126" s="201"/>
      <c r="O126" s="204" t="e">
        <v>#REF!</v>
      </c>
      <c r="P126" s="204" t="e">
        <v>#REF!</v>
      </c>
      <c r="Q126" s="205"/>
      <c r="R126" s="197"/>
      <c r="S126" s="197"/>
      <c r="T126" s="206">
        <f>VLOOKUP(Table2[[#This Row],[Course Title]],Data!$A$1:$E$56,4,FALSE)</f>
        <v>30</v>
      </c>
      <c r="U126" s="206">
        <f>VLOOKUP(Table2[[#This Row],[Course Title]],Data!$A$1:$E$56,5,FALSE)</f>
        <v>4</v>
      </c>
      <c r="V126" s="206">
        <v>13</v>
      </c>
      <c r="W126" s="207">
        <v>0</v>
      </c>
      <c r="X126" s="206">
        <v>10</v>
      </c>
      <c r="Y126" s="206">
        <v>0</v>
      </c>
      <c r="Z126" s="206">
        <v>0</v>
      </c>
      <c r="AA126" s="208">
        <f ca="1">Table2[[#This Row],[End Date]]+2-TODAY()</f>
        <v>-60</v>
      </c>
      <c r="AB126" s="206">
        <f>IF(ISBLANK(#REF!),1,0)</f>
        <v>0</v>
      </c>
      <c r="AC126" s="206">
        <f ca="1">IF(Table2[[#This Row],[Start Date]]&gt;TODAY(),1,)</f>
        <v>0</v>
      </c>
    </row>
    <row r="127" spans="1:29" s="196" customFormat="1" ht="14.25" customHeight="1">
      <c r="A127" s="197"/>
      <c r="B127" s="198" t="s">
        <v>248</v>
      </c>
      <c r="C127" s="199" t="str">
        <f>VLOOKUP(Table2[[#This Row],[Course Title]],Data!$A$1:$E$56,2,FALSE)</f>
        <v>A-322-2604</v>
      </c>
      <c r="D127" s="199" t="str">
        <f>VLOOKUP(Table2[[#This Row],[Course Title]],Data!$A$1:$E$56,3,FALSE)</f>
        <v>10ZZ</v>
      </c>
      <c r="E127" s="198" t="s">
        <v>116</v>
      </c>
      <c r="F127" s="201">
        <v>45334</v>
      </c>
      <c r="G127" s="201">
        <v>45338</v>
      </c>
      <c r="H127" s="201"/>
      <c r="I127" s="202">
        <v>0.79166666666666663</v>
      </c>
      <c r="J127" s="202">
        <v>0.66666666666666663</v>
      </c>
      <c r="K127" s="202">
        <v>8.3333333333333329E-2</v>
      </c>
      <c r="L127" s="202">
        <v>0</v>
      </c>
      <c r="M127" s="202">
        <v>0.54166666666666663</v>
      </c>
      <c r="N127" s="202">
        <v>0.33333333333333331</v>
      </c>
      <c r="O127" s="218" t="e">
        <v>#REF!</v>
      </c>
      <c r="P127" s="213" t="e">
        <v>#REF!</v>
      </c>
      <c r="Q127" s="218"/>
      <c r="R127" s="215"/>
      <c r="S127" s="215"/>
      <c r="T127" s="206">
        <f>VLOOKUP(Table2[[#This Row],[Course Title]],Data!$A$1:$E$56,4,FALSE)</f>
        <v>45</v>
      </c>
      <c r="U127" s="206">
        <f>VLOOKUP(Table2[[#This Row],[Course Title]],Data!$A$1:$E$56,5,FALSE)</f>
        <v>5</v>
      </c>
      <c r="V127" s="206">
        <v>31</v>
      </c>
      <c r="W127" s="207">
        <v>4</v>
      </c>
      <c r="X127" s="206">
        <v>11</v>
      </c>
      <c r="Y127" s="206">
        <v>1</v>
      </c>
      <c r="Z127" s="206">
        <v>0</v>
      </c>
      <c r="AA127" s="208">
        <f ca="1">Table2[[#This Row],[End Date]]+2-TODAY()</f>
        <v>-59</v>
      </c>
      <c r="AB127" s="206">
        <f>IF(ISBLANK(#REF!),1,0)</f>
        <v>0</v>
      </c>
      <c r="AC127" s="206">
        <f ca="1">IF(Table2[[#This Row],[Start Date]]&gt;TODAY(),1,)</f>
        <v>0</v>
      </c>
    </row>
    <row r="128" spans="1:29" s="196" customFormat="1" ht="14.25" customHeight="1">
      <c r="A128" s="197"/>
      <c r="B128" s="198" t="s">
        <v>17</v>
      </c>
      <c r="C128" s="199" t="str">
        <f>VLOOKUP(Table2[[#This Row],[Course Title]],Data!$A$1:$E$56,2,FALSE)</f>
        <v>A-493-0012</v>
      </c>
      <c r="D128" s="199">
        <f>VLOOKUP(Table2[[#This Row],[Course Title]],Data!$A$1:$E$56,3,FALSE)</f>
        <v>3682</v>
      </c>
      <c r="E128" s="198" t="s">
        <v>155</v>
      </c>
      <c r="F128" s="201">
        <v>45334</v>
      </c>
      <c r="G128" s="201">
        <v>45338</v>
      </c>
      <c r="H128" s="203">
        <v>0.33333333333333331</v>
      </c>
      <c r="I128" s="203"/>
      <c r="J128" s="203"/>
      <c r="K128" s="203"/>
      <c r="L128" s="203"/>
      <c r="M128" s="203"/>
      <c r="N128" s="201"/>
      <c r="O128" s="213" t="e">
        <v>#REF!</v>
      </c>
      <c r="P128" s="213" t="e">
        <v>#REF!</v>
      </c>
      <c r="Q128" s="214"/>
      <c r="R128" s="215"/>
      <c r="S128" s="215"/>
      <c r="T128" s="206">
        <f>VLOOKUP(Table2[[#This Row],[Course Title]],Data!$A$1:$E$56,4,FALSE)</f>
        <v>40</v>
      </c>
      <c r="U128" s="206">
        <f>VLOOKUP(Table2[[#This Row],[Course Title]],Data!$A$1:$E$56,5,FALSE)</f>
        <v>5</v>
      </c>
      <c r="V128" s="206">
        <v>37</v>
      </c>
      <c r="W128" s="207">
        <v>0</v>
      </c>
      <c r="X128" s="206">
        <v>2</v>
      </c>
      <c r="Y128" s="206">
        <v>25</v>
      </c>
      <c r="Z128" s="206">
        <v>0</v>
      </c>
      <c r="AA128" s="208">
        <f ca="1">Table2[[#This Row],[End Date]]+2-TODAY()</f>
        <v>-59</v>
      </c>
      <c r="AB128" s="206">
        <f>IF(ISBLANK(#REF!),1,0)</f>
        <v>0</v>
      </c>
      <c r="AC128" s="206">
        <f ca="1">IF(Table2[[#This Row],[Start Date]]&gt;TODAY(),1,)</f>
        <v>0</v>
      </c>
    </row>
    <row r="129" spans="1:29" s="196" customFormat="1" ht="14.25" customHeight="1">
      <c r="A129" s="197"/>
      <c r="B129" s="198" t="s">
        <v>18</v>
      </c>
      <c r="C129" s="199" t="str">
        <f>VLOOKUP(Table2[[#This Row],[Course Title]],Data!$A$1:$E$56,2,FALSE)</f>
        <v>A-493-0013</v>
      </c>
      <c r="D129" s="199">
        <f>VLOOKUP(Table2[[#This Row],[Course Title]],Data!$A$1:$E$56,3,FALSE)</f>
        <v>3683</v>
      </c>
      <c r="E129" s="238" t="s">
        <v>119</v>
      </c>
      <c r="F129" s="200">
        <v>45335</v>
      </c>
      <c r="G129" s="201">
        <v>45337</v>
      </c>
      <c r="H129" s="203">
        <v>0.33333333333333331</v>
      </c>
      <c r="I129" s="203"/>
      <c r="J129" s="201"/>
      <c r="K129" s="201"/>
      <c r="L129" s="201"/>
      <c r="M129" s="201"/>
      <c r="N129" s="201"/>
      <c r="O129" s="218" t="e">
        <v>#REF!</v>
      </c>
      <c r="P129" s="213" t="e">
        <v>#REF!</v>
      </c>
      <c r="Q129" s="218"/>
      <c r="R129" s="215"/>
      <c r="S129" s="215"/>
      <c r="T129" s="206">
        <f>VLOOKUP(Table2[[#This Row],[Course Title]],Data!$A$1:$E$56,4,FALSE)</f>
        <v>40</v>
      </c>
      <c r="U129" s="206">
        <v>3</v>
      </c>
      <c r="V129" s="206">
        <v>37</v>
      </c>
      <c r="W129" s="207">
        <v>0</v>
      </c>
      <c r="X129" s="206">
        <v>3</v>
      </c>
      <c r="Y129" s="206">
        <v>21</v>
      </c>
      <c r="Z129" s="199">
        <v>20</v>
      </c>
      <c r="AA129" s="208">
        <f ca="1">Table2[[#This Row],[End Date]]+2-TODAY()</f>
        <v>-60</v>
      </c>
      <c r="AB129" s="206">
        <f>IF(ISBLANK(#REF!),1,0)</f>
        <v>0</v>
      </c>
      <c r="AC129" s="206">
        <f ca="1">IF(Table2[[#This Row],[Start Date]]&gt;TODAY(),1,)</f>
        <v>0</v>
      </c>
    </row>
    <row r="130" spans="1:29" s="196" customFormat="1" ht="14.25" customHeight="1">
      <c r="A130" s="215" t="s">
        <v>478</v>
      </c>
      <c r="B130" s="224" t="s">
        <v>330</v>
      </c>
      <c r="C130" s="225" t="str">
        <f>VLOOKUP(Table2[[#This Row],[Course Title]],Data!$A$1:$E$56,2,FALSE)</f>
        <v>Holiday</v>
      </c>
      <c r="D130" s="225" t="str">
        <f>VLOOKUP(Table2[[#This Row],[Course Title]],Data!$A$1:$E$56,3,FALSE)</f>
        <v>Holiday</v>
      </c>
      <c r="E130" s="224"/>
      <c r="F130" s="226">
        <v>45341</v>
      </c>
      <c r="G130" s="226">
        <v>45341</v>
      </c>
      <c r="H130" s="227">
        <v>0</v>
      </c>
      <c r="I130" s="227"/>
      <c r="J130" s="226"/>
      <c r="K130" s="226"/>
      <c r="L130" s="226"/>
      <c r="M130" s="226"/>
      <c r="N130" s="226"/>
      <c r="O130" s="213" t="e">
        <v>#REF!</v>
      </c>
      <c r="P130" s="213" t="e">
        <v>#REF!</v>
      </c>
      <c r="Q130" s="214">
        <v>0</v>
      </c>
      <c r="R130" s="215">
        <v>0</v>
      </c>
      <c r="S130" s="215">
        <v>0</v>
      </c>
      <c r="T130" s="228">
        <f>VLOOKUP(Table2[[#This Row],[Course Title]],Data!$A$1:$E$56,4,FALSE)</f>
        <v>0</v>
      </c>
      <c r="U130" s="228">
        <f>VLOOKUP(Table2[[#This Row],[Course Title]],Data!$A$1:$E$56,5,FALSE)</f>
        <v>0</v>
      </c>
      <c r="V130" s="228">
        <v>0</v>
      </c>
      <c r="W130" s="218">
        <v>0</v>
      </c>
      <c r="X130" s="228">
        <v>0</v>
      </c>
      <c r="Y130" s="228">
        <v>0</v>
      </c>
      <c r="Z130" s="228">
        <v>0</v>
      </c>
      <c r="AA130" s="229">
        <f ca="1">Table2[[#This Row],[End Date]]+2-TODAY()</f>
        <v>-56</v>
      </c>
      <c r="AB130" s="228">
        <f>IF(ISBLANK(#REF!),1,0)</f>
        <v>0</v>
      </c>
      <c r="AC130" s="228">
        <f ca="1">IF(Table2[[#This Row],[Start Date]]&gt;TODAY(),1,)</f>
        <v>0</v>
      </c>
    </row>
    <row r="131" spans="1:29" s="196" customFormat="1" ht="14.25" customHeight="1">
      <c r="A131" s="197"/>
      <c r="B131" s="198" t="s">
        <v>26</v>
      </c>
      <c r="C131" s="199" t="str">
        <f>VLOOKUP(Table2[[#This Row],[Course Title]],Data!$A$1:$E$56,2,FALSE)</f>
        <v>A-493-2301</v>
      </c>
      <c r="D131" s="199" t="str">
        <f>VLOOKUP(Table2[[#This Row],[Course Title]],Data!$A$1:$E$56,3,FALSE)</f>
        <v>05ZD</v>
      </c>
      <c r="E131" s="198" t="s">
        <v>165</v>
      </c>
      <c r="F131" s="201">
        <v>45342</v>
      </c>
      <c r="G131" s="201">
        <v>45342</v>
      </c>
      <c r="H131" s="203">
        <v>0.33333333333333331</v>
      </c>
      <c r="I131" s="203"/>
      <c r="J131" s="201"/>
      <c r="K131" s="201"/>
      <c r="L131" s="201"/>
      <c r="M131" s="201"/>
      <c r="N131" s="201"/>
      <c r="O131" s="207" t="e">
        <v>#REF!</v>
      </c>
      <c r="P131" s="204" t="e">
        <v>#REF!</v>
      </c>
      <c r="Q131" s="207"/>
      <c r="R131" s="197"/>
      <c r="S131" s="197"/>
      <c r="T131" s="206">
        <f>VLOOKUP(Table2[[#This Row],[Course Title]],Data!$A$1:$E$56,4,FALSE)</f>
        <v>30</v>
      </c>
      <c r="U131" s="206">
        <f>VLOOKUP(Table2[[#This Row],[Course Title]],Data!$A$1:$E$56,5,FALSE)</f>
        <v>1</v>
      </c>
      <c r="V131" s="206">
        <v>8</v>
      </c>
      <c r="W131" s="207">
        <v>0</v>
      </c>
      <c r="X131" s="206">
        <v>3</v>
      </c>
      <c r="Y131" s="206">
        <v>2</v>
      </c>
      <c r="Z131" s="206">
        <v>0</v>
      </c>
      <c r="AA131" s="208">
        <f ca="1">Table2[[#This Row],[End Date]]+2-TODAY()</f>
        <v>-55</v>
      </c>
      <c r="AB131" s="206">
        <f>IF(ISBLANK(#REF!),1,0)</f>
        <v>0</v>
      </c>
      <c r="AC131" s="206">
        <f ca="1">IF(Table2[[#This Row],[Start Date]]&gt;TODAY(),1,)</f>
        <v>0</v>
      </c>
    </row>
    <row r="132" spans="1:29" s="196" customFormat="1" ht="14.25" customHeight="1">
      <c r="A132" s="197"/>
      <c r="B132" s="198" t="s">
        <v>270</v>
      </c>
      <c r="C132" s="199" t="str">
        <f>VLOOKUP(Table2[[#This Row],[Course Title]],Data!$A$1:$E$56,2,FALSE)</f>
        <v>A-493-0335</v>
      </c>
      <c r="D132" s="199" t="str">
        <f>VLOOKUP(Table2[[#This Row],[Course Title]],Data!$A$1:$E$56,3,FALSE)</f>
        <v>09ND</v>
      </c>
      <c r="E132" s="198" t="s">
        <v>116</v>
      </c>
      <c r="F132" s="201">
        <v>45342</v>
      </c>
      <c r="G132" s="201">
        <v>45345</v>
      </c>
      <c r="H132" s="201"/>
      <c r="I132" s="202">
        <v>0.5</v>
      </c>
      <c r="J132" s="202">
        <v>0.375</v>
      </c>
      <c r="K132" s="202">
        <v>0.83333333333333337</v>
      </c>
      <c r="L132" s="202">
        <v>0.75</v>
      </c>
      <c r="M132" s="202">
        <v>0.29166666666666669</v>
      </c>
      <c r="N132" s="202">
        <v>8.3333333333333329E-2</v>
      </c>
      <c r="O132" s="213" t="e">
        <v>#REF!</v>
      </c>
      <c r="P132" s="213" t="e">
        <v>#REF!</v>
      </c>
      <c r="Q132" s="214"/>
      <c r="R132" s="215"/>
      <c r="S132" s="215"/>
      <c r="T132" s="206">
        <f>VLOOKUP(Table2[[#This Row],[Course Title]],Data!$A$1:$E$56,4,FALSE)</f>
        <v>30</v>
      </c>
      <c r="U132" s="206">
        <f>VLOOKUP(Table2[[#This Row],[Course Title]],Data!$A$1:$E$56,5,FALSE)</f>
        <v>4</v>
      </c>
      <c r="V132" s="206">
        <v>31</v>
      </c>
      <c r="W132" s="207">
        <v>0</v>
      </c>
      <c r="X132" s="206">
        <v>3</v>
      </c>
      <c r="Y132" s="206">
        <v>0</v>
      </c>
      <c r="Z132" s="206">
        <v>0</v>
      </c>
      <c r="AA132" s="208">
        <f ca="1">Table2[[#This Row],[End Date]]+2-TODAY()</f>
        <v>-52</v>
      </c>
      <c r="AB132" s="206">
        <f>IF(ISBLANK(#REF!),1,0)</f>
        <v>0</v>
      </c>
      <c r="AC132" s="206">
        <f ca="1">IF(Table2[[#This Row],[Start Date]]&gt;TODAY(),1,)</f>
        <v>0</v>
      </c>
    </row>
    <row r="133" spans="1:29" s="196" customFormat="1" ht="14.25" customHeight="1">
      <c r="A133" s="197"/>
      <c r="B133" s="198" t="s">
        <v>284</v>
      </c>
      <c r="C133" s="199" t="str">
        <f>VLOOKUP(Table2[[#This Row],[Course Title]],Data!$A$1:$E$56,2,FALSE)</f>
        <v>A-493-0073</v>
      </c>
      <c r="D133" s="199" t="str">
        <f>VLOOKUP(Table2[[#This Row],[Course Title]],Data!$A$1:$E$56,3,FALSE)</f>
        <v>714S</v>
      </c>
      <c r="E133" s="198" t="s">
        <v>116</v>
      </c>
      <c r="F133" s="201">
        <v>45342</v>
      </c>
      <c r="G133" s="201">
        <v>45345</v>
      </c>
      <c r="H133" s="201"/>
      <c r="I133" s="202">
        <v>0.54166666666666663</v>
      </c>
      <c r="J133" s="202">
        <v>0.41666666666666669</v>
      </c>
      <c r="K133" s="202">
        <v>0.875</v>
      </c>
      <c r="L133" s="202">
        <v>0.79166666666666663</v>
      </c>
      <c r="M133" s="202">
        <v>0.33333333333333331</v>
      </c>
      <c r="N133" s="202">
        <v>0.125</v>
      </c>
      <c r="O133" s="204" t="e">
        <v>#REF!</v>
      </c>
      <c r="P133" s="204" t="e">
        <v>#REF!</v>
      </c>
      <c r="Q133" s="205"/>
      <c r="R133" s="197"/>
      <c r="S133" s="197"/>
      <c r="T133" s="206">
        <f>VLOOKUP(Table2[[#This Row],[Course Title]],Data!$A$1:$E$56,4,FALSE)</f>
        <v>30</v>
      </c>
      <c r="U133" s="206">
        <f>VLOOKUP(Table2[[#This Row],[Course Title]],Data!$A$1:$E$56,5,FALSE)</f>
        <v>4</v>
      </c>
      <c r="V133" s="206">
        <v>23</v>
      </c>
      <c r="W133" s="207">
        <v>0</v>
      </c>
      <c r="X133" s="206">
        <v>6</v>
      </c>
      <c r="Y133" s="206">
        <v>0</v>
      </c>
      <c r="Z133" s="206">
        <v>0</v>
      </c>
      <c r="AA133" s="208">
        <f ca="1">Table2[[#This Row],[End Date]]+2-TODAY()</f>
        <v>-52</v>
      </c>
      <c r="AB133" s="206">
        <f>IF(ISBLANK(#REF!),1,0)</f>
        <v>0</v>
      </c>
      <c r="AC133" s="206">
        <f ca="1">IF(Table2[[#This Row],[Start Date]]&gt;TODAY(),1,)</f>
        <v>0</v>
      </c>
    </row>
    <row r="134" spans="1:29" s="196" customFormat="1" ht="14.25" customHeight="1">
      <c r="A134" s="197"/>
      <c r="B134" s="198" t="s">
        <v>28</v>
      </c>
      <c r="C134" s="199" t="str">
        <f>VLOOKUP(Table2[[#This Row],[Course Title]],Data!$A$1:$E$56,2,FALSE)</f>
        <v>A-493-0092</v>
      </c>
      <c r="D134" s="199">
        <f>VLOOKUP(Table2[[#This Row],[Course Title]],Data!$A$1:$E$56,3,FALSE)</f>
        <v>5891</v>
      </c>
      <c r="E134" s="198" t="s">
        <v>110</v>
      </c>
      <c r="F134" s="201">
        <v>45343</v>
      </c>
      <c r="G134" s="201">
        <v>45345</v>
      </c>
      <c r="H134" s="203">
        <v>0.33333333333333331</v>
      </c>
      <c r="I134" s="203"/>
      <c r="J134" s="201"/>
      <c r="K134" s="201"/>
      <c r="L134" s="201"/>
      <c r="M134" s="201"/>
      <c r="N134" s="201"/>
      <c r="O134" s="204" t="e">
        <v>#REF!</v>
      </c>
      <c r="P134" s="204" t="e">
        <v>#REF!</v>
      </c>
      <c r="Q134" s="204"/>
      <c r="R134" s="197"/>
      <c r="S134" s="197"/>
      <c r="T134" s="206">
        <f>VLOOKUP(Table2[[#This Row],[Course Title]],Data!$A$1:$E$56,4,FALSE)</f>
        <v>25</v>
      </c>
      <c r="U134" s="206">
        <f>VLOOKUP(Table2[[#This Row],[Course Title]],Data!$A$1:$E$56,5,FALSE)</f>
        <v>3</v>
      </c>
      <c r="V134" s="206">
        <v>9</v>
      </c>
      <c r="W134" s="207">
        <v>0</v>
      </c>
      <c r="X134" s="206">
        <v>0</v>
      </c>
      <c r="Y134" s="206">
        <v>0</v>
      </c>
      <c r="Z134" s="206">
        <v>0</v>
      </c>
      <c r="AA134" s="208">
        <f ca="1">Table2[[#This Row],[End Date]]+2-TODAY()</f>
        <v>-52</v>
      </c>
      <c r="AB134" s="206">
        <f>IF(ISBLANK(#REF!),1,0)</f>
        <v>0</v>
      </c>
      <c r="AC134" s="206">
        <f ca="1">IF(Table2[[#This Row],[Start Date]]&gt;TODAY(),1,)</f>
        <v>0</v>
      </c>
    </row>
    <row r="135" spans="1:29" s="196" customFormat="1" ht="14.25" customHeight="1">
      <c r="A135" s="197"/>
      <c r="B135" s="198" t="s">
        <v>11</v>
      </c>
      <c r="C135" s="199" t="str">
        <f>VLOOKUP(Table2[[#This Row],[Course Title]],Data!$A$1:$E$56,2,FALSE)</f>
        <v>A-493-0070</v>
      </c>
      <c r="D135" s="199" t="str">
        <f>VLOOKUP(Table2[[#This Row],[Course Title]],Data!$A$1:$E$56,3,FALSE)</f>
        <v>450V</v>
      </c>
      <c r="E135" s="198" t="s">
        <v>116</v>
      </c>
      <c r="F135" s="201">
        <v>45348</v>
      </c>
      <c r="G135" s="201">
        <v>45349</v>
      </c>
      <c r="H135" s="201"/>
      <c r="I135" s="202">
        <v>0.75</v>
      </c>
      <c r="J135" s="202">
        <v>0.625</v>
      </c>
      <c r="K135" s="202">
        <v>8.3333333333333329E-2</v>
      </c>
      <c r="L135" s="202">
        <v>0</v>
      </c>
      <c r="M135" s="202">
        <v>0.54166666666666663</v>
      </c>
      <c r="N135" s="202">
        <v>0.33333333333333331</v>
      </c>
      <c r="O135" s="213" t="e">
        <v>#REF!</v>
      </c>
      <c r="P135" s="213" t="e">
        <v>#REF!</v>
      </c>
      <c r="Q135" s="214"/>
      <c r="R135" s="215"/>
      <c r="S135" s="215"/>
      <c r="T135" s="206">
        <f>VLOOKUP(Table2[[#This Row],[Course Title]],Data!$A$1:$E$56,4,FALSE)</f>
        <v>30</v>
      </c>
      <c r="U135" s="206">
        <f>VLOOKUP(Table2[[#This Row],[Course Title]],Data!$A$1:$E$56,5,FALSE)</f>
        <v>1</v>
      </c>
      <c r="V135" s="206">
        <v>22</v>
      </c>
      <c r="W135" s="207">
        <v>0</v>
      </c>
      <c r="X135" s="206">
        <v>0</v>
      </c>
      <c r="Y135" s="206">
        <v>0</v>
      </c>
      <c r="Z135" s="206">
        <v>0</v>
      </c>
      <c r="AA135" s="208">
        <f ca="1">Table2[[#This Row],[End Date]]+2-TODAY()</f>
        <v>-48</v>
      </c>
      <c r="AB135" s="206">
        <f>IF(ISBLANK(#REF!),1,0)</f>
        <v>0</v>
      </c>
      <c r="AC135" s="206">
        <f ca="1">IF(Table2[[#This Row],[Start Date]]&gt;TODAY(),1,)</f>
        <v>0</v>
      </c>
    </row>
    <row r="136" spans="1:29" s="196" customFormat="1" ht="14.25" customHeight="1">
      <c r="A136" s="198"/>
      <c r="B136" s="198" t="s">
        <v>236</v>
      </c>
      <c r="C136" s="199" t="str">
        <f>VLOOKUP(Table2[[#This Row],[Course Title]],Data!$A$1:$E$56,2,FALSE)</f>
        <v>A-493-0103</v>
      </c>
      <c r="D136" s="199" t="str">
        <f>VLOOKUP(Table2[[#This Row],[Course Title]],Data!$A$1:$E$56,3,FALSE)</f>
        <v>12JY</v>
      </c>
      <c r="E136" s="198" t="s">
        <v>156</v>
      </c>
      <c r="F136" s="201">
        <v>45348</v>
      </c>
      <c r="G136" s="201">
        <v>45352</v>
      </c>
      <c r="H136" s="203">
        <v>0.33333333333333331</v>
      </c>
      <c r="I136" s="203"/>
      <c r="J136" s="201"/>
      <c r="K136" s="201"/>
      <c r="L136" s="201"/>
      <c r="M136" s="201"/>
      <c r="N136" s="201"/>
      <c r="O136" s="204" t="e">
        <v>#REF!</v>
      </c>
      <c r="P136" s="204" t="e">
        <v>#REF!</v>
      </c>
      <c r="Q136" s="205"/>
      <c r="R136" s="197"/>
      <c r="S136" s="197"/>
      <c r="T136" s="206">
        <f>VLOOKUP(Table2[[#This Row],[Course Title]],Data!$A$1:$E$56,4,FALSE)</f>
        <v>25</v>
      </c>
      <c r="U136" s="206">
        <f>VLOOKUP(Table2[[#This Row],[Course Title]],Data!$A$1:$E$56,5,FALSE)</f>
        <v>5</v>
      </c>
      <c r="V136" s="206">
        <v>20</v>
      </c>
      <c r="W136" s="207">
        <v>0</v>
      </c>
      <c r="X136" s="206">
        <v>5</v>
      </c>
      <c r="Y136" s="206">
        <v>0</v>
      </c>
      <c r="Z136" s="206">
        <v>0</v>
      </c>
      <c r="AA136" s="208">
        <f ca="1">Table2[[#This Row],[End Date]]+2-TODAY()</f>
        <v>-45</v>
      </c>
      <c r="AB136" s="206">
        <f>IF(ISBLANK(#REF!),1,0)</f>
        <v>0</v>
      </c>
      <c r="AC136" s="206">
        <f ca="1">IF(Table2[[#This Row],[Start Date]]&gt;TODAY(),1,)</f>
        <v>0</v>
      </c>
    </row>
    <row r="137" spans="1:29" s="211" customFormat="1">
      <c r="A137" s="197"/>
      <c r="B137" s="198" t="s">
        <v>248</v>
      </c>
      <c r="C137" s="199" t="str">
        <f>VLOOKUP(Table2[[#This Row],[Course Title]],Data!$A$1:$E$56,2,FALSE)</f>
        <v>A-322-2604</v>
      </c>
      <c r="D137" s="199" t="str">
        <f>VLOOKUP(Table2[[#This Row],[Course Title]],Data!$A$1:$E$56,3,FALSE)</f>
        <v>10ZZ</v>
      </c>
      <c r="E137" s="198" t="s">
        <v>116</v>
      </c>
      <c r="F137" s="201">
        <v>45348</v>
      </c>
      <c r="G137" s="201">
        <v>45352</v>
      </c>
      <c r="H137" s="201"/>
      <c r="I137" s="202">
        <v>0.33333333333333331</v>
      </c>
      <c r="J137" s="202">
        <v>0.20833333333333334</v>
      </c>
      <c r="K137" s="202">
        <v>0.66666666666666663</v>
      </c>
      <c r="L137" s="202">
        <v>0.58333333333333337</v>
      </c>
      <c r="M137" s="202">
        <v>0.125</v>
      </c>
      <c r="N137" s="202">
        <v>0.91666666666666663</v>
      </c>
      <c r="O137" s="218" t="e">
        <v>#REF!</v>
      </c>
      <c r="P137" s="213" t="e">
        <v>#REF!</v>
      </c>
      <c r="Q137" s="218"/>
      <c r="R137" s="215"/>
      <c r="S137" s="215"/>
      <c r="T137" s="206">
        <f>VLOOKUP(Table2[[#This Row],[Course Title]],Data!$A$1:$E$56,4,FALSE)</f>
        <v>45</v>
      </c>
      <c r="U137" s="206">
        <f>VLOOKUP(Table2[[#This Row],[Course Title]],Data!$A$1:$E$56,5,FALSE)</f>
        <v>5</v>
      </c>
      <c r="V137" s="206">
        <v>43</v>
      </c>
      <c r="W137" s="207">
        <v>1</v>
      </c>
      <c r="X137" s="206">
        <v>2</v>
      </c>
      <c r="Y137" s="206">
        <v>0</v>
      </c>
      <c r="Z137" s="206">
        <v>0</v>
      </c>
      <c r="AA137" s="208">
        <f ca="1">Table2[[#This Row],[End Date]]+2-TODAY()</f>
        <v>-45</v>
      </c>
      <c r="AB137" s="206">
        <f>IF(ISBLANK(#REF!),1,0)</f>
        <v>0</v>
      </c>
      <c r="AC137" s="206">
        <f ca="1">IF(Table2[[#This Row],[Start Date]]&gt;TODAY(),1,)</f>
        <v>0</v>
      </c>
    </row>
    <row r="138" spans="1:29" s="196" customFormat="1" ht="14.25" customHeight="1">
      <c r="A138" s="197"/>
      <c r="B138" s="198" t="s">
        <v>25</v>
      </c>
      <c r="C138" s="199" t="str">
        <f>VLOOKUP(Table2[[#This Row],[Course Title]],Data!$A$1:$E$56,2,FALSE)</f>
        <v>A-493-2300</v>
      </c>
      <c r="D138" s="199" t="str">
        <f>VLOOKUP(Table2[[#This Row],[Course Title]],Data!$A$1:$E$56,3,FALSE)</f>
        <v>993F</v>
      </c>
      <c r="E138" s="198" t="s">
        <v>147</v>
      </c>
      <c r="F138" s="201">
        <v>45348</v>
      </c>
      <c r="G138" s="201">
        <v>45349</v>
      </c>
      <c r="H138" s="203">
        <v>0.33333333333333331</v>
      </c>
      <c r="I138" s="203"/>
      <c r="J138" s="201"/>
      <c r="K138" s="201"/>
      <c r="L138" s="201"/>
      <c r="M138" s="201"/>
      <c r="N138" s="201"/>
      <c r="O138" s="207" t="e">
        <v>#REF!</v>
      </c>
      <c r="P138" s="204" t="e">
        <v>#REF!</v>
      </c>
      <c r="Q138" s="207"/>
      <c r="R138" s="197"/>
      <c r="S138" s="197"/>
      <c r="T138" s="206">
        <f>VLOOKUP(Table2[[#This Row],[Course Title]],Data!$A$1:$E$56,4,FALSE)</f>
        <v>30</v>
      </c>
      <c r="U138" s="206">
        <f>VLOOKUP(Table2[[#This Row],[Course Title]],Data!$A$1:$E$56,5,FALSE)</f>
        <v>2</v>
      </c>
      <c r="V138" s="206">
        <v>14</v>
      </c>
      <c r="W138" s="207">
        <v>0</v>
      </c>
      <c r="X138" s="206">
        <v>3</v>
      </c>
      <c r="Y138" s="206">
        <v>3</v>
      </c>
      <c r="Z138" s="222">
        <v>0</v>
      </c>
      <c r="AA138" s="208">
        <f ca="1">Table2[[#This Row],[End Date]]+2-TODAY()</f>
        <v>-48</v>
      </c>
      <c r="AB138" s="206">
        <f>IF(ISBLANK(#REF!),1,0)</f>
        <v>0</v>
      </c>
      <c r="AC138" s="206">
        <f ca="1">IF(Table2[[#This Row],[Start Date]]&gt;TODAY(),1,)</f>
        <v>0</v>
      </c>
    </row>
    <row r="139" spans="1:29" s="196" customFormat="1" ht="14.25" customHeight="1">
      <c r="A139" s="197"/>
      <c r="B139" s="198" t="s">
        <v>276</v>
      </c>
      <c r="C139" s="199" t="str">
        <f>VLOOKUP(Table2[[#This Row],[Course Title]],Data!$A$1:$E$56,2,FALSE)</f>
        <v>A-493-0550</v>
      </c>
      <c r="D139" s="199" t="str">
        <f>VLOOKUP(Table2[[#This Row],[Course Title]],Data!$A$1:$E$56,3,FALSE)</f>
        <v>09K5</v>
      </c>
      <c r="E139" s="198" t="s">
        <v>116</v>
      </c>
      <c r="F139" s="201">
        <v>45348</v>
      </c>
      <c r="G139" s="201">
        <v>45352</v>
      </c>
      <c r="H139" s="201"/>
      <c r="I139" s="202">
        <v>0.33333333333333331</v>
      </c>
      <c r="J139" s="202">
        <v>0.20833333333333334</v>
      </c>
      <c r="K139" s="202">
        <v>0.66666666666666663</v>
      </c>
      <c r="L139" s="202">
        <v>0.58333333333333337</v>
      </c>
      <c r="M139" s="202">
        <v>0.125</v>
      </c>
      <c r="N139" s="202">
        <v>0.91666666666666663</v>
      </c>
      <c r="O139" s="204" t="e">
        <v>#REF!</v>
      </c>
      <c r="P139" s="204" t="e">
        <v>#REF!</v>
      </c>
      <c r="Q139" s="205"/>
      <c r="R139" s="197"/>
      <c r="S139" s="197"/>
      <c r="T139" s="206">
        <f>VLOOKUP(Table2[[#This Row],[Course Title]],Data!$A$1:$E$56,4,FALSE)</f>
        <v>45</v>
      </c>
      <c r="U139" s="206">
        <f>VLOOKUP(Table2[[#This Row],[Course Title]],Data!$A$1:$E$56,5,FALSE)</f>
        <v>4</v>
      </c>
      <c r="V139" s="206">
        <v>39</v>
      </c>
      <c r="W139" s="207">
        <v>0</v>
      </c>
      <c r="X139" s="206">
        <v>9</v>
      </c>
      <c r="Y139" s="206">
        <v>4</v>
      </c>
      <c r="Z139" s="206">
        <v>0</v>
      </c>
      <c r="AA139" s="208">
        <f ca="1">Table2[[#This Row],[End Date]]+2-TODAY()</f>
        <v>-45</v>
      </c>
      <c r="AB139" s="206">
        <f>IF(ISBLANK(#REF!),1,0)</f>
        <v>0</v>
      </c>
      <c r="AC139" s="206">
        <f ca="1">IF(Table2[[#This Row],[Start Date]]&gt;TODAY(),1,)</f>
        <v>0</v>
      </c>
    </row>
    <row r="140" spans="1:29" s="196" customFormat="1" ht="14.25" customHeight="1">
      <c r="A140" s="197"/>
      <c r="B140" s="198" t="s">
        <v>287</v>
      </c>
      <c r="C140" s="199" t="str">
        <f>VLOOKUP(Table2[[#This Row],[Course Title]],Data!$A$1:$E$56,2,FALSE)</f>
        <v>A-493-0078</v>
      </c>
      <c r="D140" s="199">
        <f>VLOOKUP(Table2[[#This Row],[Course Title]],Data!$A$1:$E$56,3,FALSE)</f>
        <v>1228</v>
      </c>
      <c r="E140" s="198" t="s">
        <v>116</v>
      </c>
      <c r="F140" s="201">
        <v>45348</v>
      </c>
      <c r="G140" s="201">
        <v>45352</v>
      </c>
      <c r="H140" s="201"/>
      <c r="I140" s="202">
        <v>0.54166666666666663</v>
      </c>
      <c r="J140" s="202">
        <v>0.41666666666666669</v>
      </c>
      <c r="K140" s="202">
        <v>0.875</v>
      </c>
      <c r="L140" s="202">
        <v>0.79166666666666663</v>
      </c>
      <c r="M140" s="202">
        <v>0.33333333333333331</v>
      </c>
      <c r="N140" s="202">
        <v>0.125</v>
      </c>
      <c r="O140" s="204" t="e">
        <v>#REF!</v>
      </c>
      <c r="P140" s="204" t="e">
        <v>#REF!</v>
      </c>
      <c r="Q140" s="205"/>
      <c r="R140" s="197"/>
      <c r="S140" s="197"/>
      <c r="T140" s="206">
        <f>VLOOKUP(Table2[[#This Row],[Course Title]],Data!$A$1:$E$56,4,FALSE)</f>
        <v>45</v>
      </c>
      <c r="U140" s="206">
        <f>VLOOKUP(Table2[[#This Row],[Course Title]],Data!$A$1:$E$56,5,FALSE)</f>
        <v>5</v>
      </c>
      <c r="V140" s="206">
        <v>38</v>
      </c>
      <c r="W140" s="207">
        <v>1</v>
      </c>
      <c r="X140" s="206">
        <v>6</v>
      </c>
      <c r="Y140" s="206">
        <v>0</v>
      </c>
      <c r="Z140" s="206">
        <v>0</v>
      </c>
      <c r="AA140" s="208">
        <f ca="1">Table2[[#This Row],[End Date]]+2-TODAY()</f>
        <v>-45</v>
      </c>
      <c r="AB140" s="206">
        <f>IF(ISBLANK(#REF!),1,0)</f>
        <v>0</v>
      </c>
      <c r="AC140" s="206">
        <f ca="1">IF(Table2[[#This Row],[Start Date]]&gt;TODAY(),1,)</f>
        <v>0</v>
      </c>
    </row>
    <row r="141" spans="1:29" s="196" customFormat="1" ht="14.25" customHeight="1">
      <c r="A141" s="197"/>
      <c r="B141" s="198" t="s">
        <v>299</v>
      </c>
      <c r="C141" s="199" t="str">
        <f>VLOOKUP(Table2[[#This Row],[Course Title]],Data!$A$1:$E$56,2,FALSE)</f>
        <v>A-570-0100</v>
      </c>
      <c r="D141" s="199" t="str">
        <f>VLOOKUP(Table2[[#This Row],[Course Title]],Data!$A$1:$E$56,3,FALSE)</f>
        <v>18B7</v>
      </c>
      <c r="E141" s="198" t="s">
        <v>116</v>
      </c>
      <c r="F141" s="201">
        <v>45348</v>
      </c>
      <c r="G141" s="201">
        <v>45352</v>
      </c>
      <c r="H141" s="201"/>
      <c r="I141" s="202">
        <v>0.79166666666666663</v>
      </c>
      <c r="J141" s="202">
        <v>0.66666666666666663</v>
      </c>
      <c r="K141" s="202">
        <v>8.3333333333333329E-2</v>
      </c>
      <c r="L141" s="202">
        <v>0</v>
      </c>
      <c r="M141" s="202">
        <v>0.54166666666666663</v>
      </c>
      <c r="N141" s="202">
        <v>0.33333333333333331</v>
      </c>
      <c r="O141" s="218" t="e">
        <v>#REF!</v>
      </c>
      <c r="P141" s="213" t="e">
        <v>#REF!</v>
      </c>
      <c r="Q141" s="218"/>
      <c r="R141" s="215"/>
      <c r="S141" s="215"/>
      <c r="T141" s="206">
        <f>VLOOKUP(Table2[[#This Row],[Course Title]],Data!$A$1:$E$56,4,FALSE)</f>
        <v>30</v>
      </c>
      <c r="U141" s="206">
        <f>VLOOKUP(Table2[[#This Row],[Course Title]],Data!$A$1:$E$56,5,FALSE)</f>
        <v>4</v>
      </c>
      <c r="V141" s="206">
        <v>20</v>
      </c>
      <c r="W141" s="207">
        <v>2</v>
      </c>
      <c r="X141" s="206">
        <v>8</v>
      </c>
      <c r="Y141" s="206">
        <v>0</v>
      </c>
      <c r="Z141" s="199">
        <v>0</v>
      </c>
      <c r="AA141" s="208">
        <f ca="1">Table2[[#This Row],[End Date]]+2-TODAY()</f>
        <v>-45</v>
      </c>
      <c r="AB141" s="206">
        <f>IF(ISBLANK(#REF!),1,0)</f>
        <v>0</v>
      </c>
      <c r="AC141" s="206">
        <f ca="1">IF(Table2[[#This Row],[Start Date]]&gt;TODAY(),1,)</f>
        <v>0</v>
      </c>
    </row>
    <row r="142" spans="1:29" s="196" customFormat="1" ht="14.25" customHeight="1">
      <c r="A142" s="197"/>
      <c r="B142" s="198" t="s">
        <v>312</v>
      </c>
      <c r="C142" s="199" t="str">
        <f>VLOOKUP(Table2[[#This Row],[Course Title]],Data!$A$1:$E$56,2,FALSE)</f>
        <v>A-493-2098</v>
      </c>
      <c r="D142" s="199" t="str">
        <f>VLOOKUP(Table2[[#This Row],[Course Title]],Data!$A$1:$E$56,3,FALSE)</f>
        <v>09WW</v>
      </c>
      <c r="E142" s="198" t="s">
        <v>116</v>
      </c>
      <c r="F142" s="201">
        <v>45348</v>
      </c>
      <c r="G142" s="201">
        <v>45352</v>
      </c>
      <c r="H142" s="201"/>
      <c r="I142" s="202">
        <v>0.79166666666666663</v>
      </c>
      <c r="J142" s="202">
        <v>0.66666666666666663</v>
      </c>
      <c r="K142" s="202">
        <v>8.3333333333333329E-2</v>
      </c>
      <c r="L142" s="202">
        <v>0</v>
      </c>
      <c r="M142" s="202">
        <v>0.54166666666666663</v>
      </c>
      <c r="N142" s="202">
        <v>0.33333333333333331</v>
      </c>
      <c r="O142" s="207" t="e">
        <v>#REF!</v>
      </c>
      <c r="P142" s="204" t="e">
        <v>#REF!</v>
      </c>
      <c r="Q142" s="207"/>
      <c r="R142" s="197"/>
      <c r="S142" s="197"/>
      <c r="T142" s="206">
        <f>VLOOKUP(Table2[[#This Row],[Course Title]],Data!$A$1:$E$56,4,FALSE)</f>
        <v>100</v>
      </c>
      <c r="U142" s="206">
        <f>VLOOKUP(Table2[[#This Row],[Course Title]],Data!$A$1:$E$56,5,FALSE)</f>
        <v>5</v>
      </c>
      <c r="V142" s="206">
        <v>87</v>
      </c>
      <c r="W142" s="207">
        <v>2</v>
      </c>
      <c r="X142" s="206">
        <v>15</v>
      </c>
      <c r="Y142" s="206">
        <v>2</v>
      </c>
      <c r="Z142" s="206">
        <v>0</v>
      </c>
      <c r="AA142" s="208">
        <f ca="1">Table2[[#This Row],[End Date]]+2-TODAY()</f>
        <v>-45</v>
      </c>
      <c r="AB142" s="206">
        <f>IF(ISBLANK(#REF!),1,0)</f>
        <v>0</v>
      </c>
      <c r="AC142" s="206">
        <f ca="1">IF(Table2[[#This Row],[Start Date]]&gt;TODAY(),1,)</f>
        <v>0</v>
      </c>
    </row>
    <row r="143" spans="1:29" s="196" customFormat="1" ht="14.25" customHeight="1">
      <c r="A143" s="197"/>
      <c r="B143" s="198" t="s">
        <v>17</v>
      </c>
      <c r="C143" s="199" t="str">
        <f>VLOOKUP(Table2[[#This Row],[Course Title]],Data!$A$1:$E$56,2,FALSE)</f>
        <v>A-493-0012</v>
      </c>
      <c r="D143" s="199">
        <f>VLOOKUP(Table2[[#This Row],[Course Title]],Data!$A$1:$E$56,3,FALSE)</f>
        <v>3682</v>
      </c>
      <c r="E143" s="198" t="s">
        <v>133</v>
      </c>
      <c r="F143" s="201">
        <v>45348</v>
      </c>
      <c r="G143" s="201">
        <v>45352</v>
      </c>
      <c r="H143" s="203">
        <v>0.33333333333333331</v>
      </c>
      <c r="I143" s="203"/>
      <c r="J143" s="201"/>
      <c r="K143" s="201"/>
      <c r="L143" s="201"/>
      <c r="M143" s="201"/>
      <c r="N143" s="201"/>
      <c r="O143" s="218" t="e">
        <v>#REF!</v>
      </c>
      <c r="P143" s="213" t="e">
        <v>#REF!</v>
      </c>
      <c r="Q143" s="218"/>
      <c r="R143" s="215"/>
      <c r="S143" s="215"/>
      <c r="T143" s="206">
        <f>VLOOKUP(Table2[[#This Row],[Course Title]],Data!$A$1:$E$56,4,FALSE)</f>
        <v>40</v>
      </c>
      <c r="U143" s="206">
        <f>VLOOKUP(Table2[[#This Row],[Course Title]],Data!$A$1:$E$56,5,FALSE)</f>
        <v>5</v>
      </c>
      <c r="V143" s="206">
        <v>28</v>
      </c>
      <c r="W143" s="207">
        <v>10</v>
      </c>
      <c r="X143" s="206">
        <v>3</v>
      </c>
      <c r="Y143" s="206">
        <v>1</v>
      </c>
      <c r="Z143" s="206">
        <v>0</v>
      </c>
      <c r="AA143" s="208">
        <f ca="1">Table2[[#This Row],[End Date]]+2-TODAY()</f>
        <v>-45</v>
      </c>
      <c r="AB143" s="206">
        <f>IF(ISBLANK(#REF!),1,0)</f>
        <v>0</v>
      </c>
      <c r="AC143" s="206">
        <f ca="1">IF(Table2[[#This Row],[Start Date]]&gt;TODAY(),1,)</f>
        <v>0</v>
      </c>
    </row>
    <row r="144" spans="1:29" s="196" customFormat="1" ht="14.25" customHeight="1">
      <c r="A144" s="198"/>
      <c r="B144" s="198" t="s">
        <v>38</v>
      </c>
      <c r="C144" s="199" t="str">
        <f>VLOOKUP(Table2[[#This Row],[Course Title]],Data!$A$1:$E$56,2,FALSE)</f>
        <v>A-493-0072</v>
      </c>
      <c r="D144" s="199" t="str">
        <f>VLOOKUP(Table2[[#This Row],[Course Title]],Data!$A$1:$E$56,3,FALSE)</f>
        <v>713U</v>
      </c>
      <c r="E144" s="198" t="s">
        <v>110</v>
      </c>
      <c r="F144" s="201">
        <v>45348</v>
      </c>
      <c r="G144" s="201">
        <v>45351</v>
      </c>
      <c r="H144" s="210">
        <v>0.33333333333333331</v>
      </c>
      <c r="I144" s="210"/>
      <c r="J144" s="201"/>
      <c r="K144" s="201"/>
      <c r="L144" s="201"/>
      <c r="M144" s="201"/>
      <c r="N144" s="201"/>
      <c r="O144" s="218" t="e">
        <v>#REF!</v>
      </c>
      <c r="P144" s="218" t="e">
        <v>#REF!</v>
      </c>
      <c r="Q144" s="214"/>
      <c r="R144" s="215"/>
      <c r="S144" s="215"/>
      <c r="T144" s="206">
        <f>VLOOKUP(Table2[[#This Row],[Course Title]],Data!$A$1:$E$56,4,FALSE)</f>
        <v>30</v>
      </c>
      <c r="U144" s="206">
        <f>VLOOKUP(Table2[[#This Row],[Course Title]],Data!$A$1:$E$56,5,FALSE)</f>
        <v>4</v>
      </c>
      <c r="V144" s="206">
        <v>27</v>
      </c>
      <c r="W144" s="207">
        <v>0</v>
      </c>
      <c r="X144" s="206">
        <v>4</v>
      </c>
      <c r="Y144" s="206">
        <v>0</v>
      </c>
      <c r="Z144" s="199">
        <v>0</v>
      </c>
      <c r="AA144" s="208">
        <f ca="1">Table2[[#This Row],[End Date]]+2-TODAY()</f>
        <v>-46</v>
      </c>
      <c r="AB144" s="206">
        <f>IF(ISBLANK(#REF!),1,0)</f>
        <v>0</v>
      </c>
      <c r="AC144" s="206">
        <f ca="1">IF(Table2[[#This Row],[Start Date]]&gt;TODAY(),1,)</f>
        <v>0</v>
      </c>
    </row>
    <row r="145" spans="1:29" s="197" customFormat="1">
      <c r="B145" s="198" t="s">
        <v>19</v>
      </c>
      <c r="C145" s="199" t="str">
        <f>VLOOKUP(Table2[[#This Row],[Course Title]],Data!$A$1:$E$56,2,FALSE)</f>
        <v>A-493-0099</v>
      </c>
      <c r="D145" s="199" t="str">
        <f>VLOOKUP(Table2[[#This Row],[Course Title]],Data!$A$1:$E$56,3,FALSE)</f>
        <v>12JW</v>
      </c>
      <c r="E145" s="198" t="s">
        <v>116</v>
      </c>
      <c r="F145" s="201">
        <v>45349</v>
      </c>
      <c r="G145" s="201">
        <v>45351</v>
      </c>
      <c r="H145" s="201"/>
      <c r="I145" s="202">
        <v>0.79166666666666663</v>
      </c>
      <c r="J145" s="202">
        <v>0.66666666666666663</v>
      </c>
      <c r="K145" s="202">
        <v>0.125</v>
      </c>
      <c r="L145" s="202">
        <v>4.1666666666666664E-2</v>
      </c>
      <c r="M145" s="202">
        <v>0.58333333333333337</v>
      </c>
      <c r="N145" s="202">
        <v>0.375</v>
      </c>
      <c r="O145" s="213" t="e">
        <v>#REF!</v>
      </c>
      <c r="P145" s="213" t="e">
        <v>#REF!</v>
      </c>
      <c r="Q145" s="214"/>
      <c r="R145" s="215"/>
      <c r="S145" s="215"/>
      <c r="T145" s="206">
        <f>VLOOKUP(Table2[[#This Row],[Course Title]],Data!$A$1:$E$56,4,FALSE)</f>
        <v>45</v>
      </c>
      <c r="U145" s="206">
        <f>VLOOKUP(Table2[[#This Row],[Course Title]],Data!$A$1:$E$56,5,FALSE)</f>
        <v>3</v>
      </c>
      <c r="V145" s="206">
        <v>23</v>
      </c>
      <c r="W145" s="207">
        <v>0</v>
      </c>
      <c r="X145" s="206">
        <v>1</v>
      </c>
      <c r="Y145" s="206">
        <v>0</v>
      </c>
      <c r="Z145" s="207">
        <v>0</v>
      </c>
      <c r="AA145" s="208">
        <f ca="1">Table2[[#This Row],[End Date]]+2-TODAY()</f>
        <v>-46</v>
      </c>
      <c r="AB145" s="206">
        <f>IF(ISBLANK(#REF!),1,0)</f>
        <v>0</v>
      </c>
      <c r="AC145" s="206">
        <f ca="1">IF(Table2[[#This Row],[Start Date]]&gt;TODAY(),1,)</f>
        <v>0</v>
      </c>
    </row>
    <row r="146" spans="1:29" s="211" customFormat="1" ht="14.25" customHeight="1">
      <c r="A146" s="197"/>
      <c r="B146" s="198" t="s">
        <v>7</v>
      </c>
      <c r="C146" s="199" t="str">
        <f>VLOOKUP(Table2[[#This Row],[Course Title]],Data!$A$1:$E$56,2,FALSE)</f>
        <v>A-493-0015</v>
      </c>
      <c r="D146" s="199">
        <f>VLOOKUP(Table2[[#This Row],[Course Title]],Data!$A$1:$E$56,3,FALSE)</f>
        <v>3879</v>
      </c>
      <c r="E146" s="198" t="s">
        <v>116</v>
      </c>
      <c r="F146" s="201">
        <v>45350</v>
      </c>
      <c r="G146" s="201">
        <v>45350</v>
      </c>
      <c r="H146" s="201"/>
      <c r="I146" s="202">
        <v>0.75</v>
      </c>
      <c r="J146" s="202">
        <v>0.625</v>
      </c>
      <c r="K146" s="202">
        <v>8.3333333333333329E-2</v>
      </c>
      <c r="L146" s="202">
        <v>0</v>
      </c>
      <c r="M146" s="202">
        <v>0.54166666666666663</v>
      </c>
      <c r="N146" s="202">
        <v>0.33333333333333331</v>
      </c>
      <c r="O146" s="213" t="e">
        <v>#REF!</v>
      </c>
      <c r="P146" s="213" t="e">
        <v>#REF!</v>
      </c>
      <c r="Q146" s="218"/>
      <c r="R146" s="215"/>
      <c r="S146" s="215"/>
      <c r="T146" s="206">
        <f>VLOOKUP(Table2[[#This Row],[Course Title]],Data!$A$1:$E$56,4,FALSE)</f>
        <v>30</v>
      </c>
      <c r="U146" s="206">
        <f>VLOOKUP(Table2[[#This Row],[Course Title]],Data!$A$1:$E$56,5,FALSE)</f>
        <v>1</v>
      </c>
      <c r="V146" s="206">
        <v>29</v>
      </c>
      <c r="W146" s="207">
        <v>0</v>
      </c>
      <c r="X146" s="206">
        <v>2</v>
      </c>
      <c r="Y146" s="206">
        <v>0</v>
      </c>
      <c r="Z146" s="206">
        <v>0</v>
      </c>
      <c r="AA146" s="208">
        <f ca="1">Table2[[#This Row],[End Date]]+2-TODAY()</f>
        <v>-47</v>
      </c>
      <c r="AB146" s="206">
        <f>IF(ISBLANK(#REF!),1,0)</f>
        <v>0</v>
      </c>
      <c r="AC146" s="206">
        <f ca="1">IF(Table2[[#This Row],[Start Date]]&gt;TODAY(),1,)</f>
        <v>0</v>
      </c>
    </row>
    <row r="147" spans="1:29" s="211" customFormat="1" ht="14.25" customHeight="1">
      <c r="A147" s="197"/>
      <c r="B147" s="198" t="s">
        <v>35</v>
      </c>
      <c r="C147" s="199" t="str">
        <f>VLOOKUP(Table2[[#This Row],[Course Title]],Data!$A$1:$E$56,2,FALSE)</f>
        <v>A-493-2501</v>
      </c>
      <c r="D147" s="199" t="str">
        <f>VLOOKUP(Table2[[#This Row],[Course Title]],Data!$A$1:$E$56,3,FALSE)</f>
        <v>05ZE</v>
      </c>
      <c r="E147" s="198" t="s">
        <v>147</v>
      </c>
      <c r="F147" s="201">
        <v>45350</v>
      </c>
      <c r="G147" s="201">
        <v>45350</v>
      </c>
      <c r="H147" s="203">
        <v>0.33333333333333331</v>
      </c>
      <c r="I147" s="203"/>
      <c r="J147" s="201"/>
      <c r="K147" s="201"/>
      <c r="L147" s="201"/>
      <c r="M147" s="201"/>
      <c r="N147" s="201"/>
      <c r="O147" s="207" t="e">
        <v>#REF!</v>
      </c>
      <c r="P147" s="204" t="e">
        <v>#REF!</v>
      </c>
      <c r="Q147" s="207"/>
      <c r="R147" s="197"/>
      <c r="S147" s="197"/>
      <c r="T147" s="206">
        <f>VLOOKUP(Table2[[#This Row],[Course Title]],Data!$A$1:$E$56,4,FALSE)</f>
        <v>30</v>
      </c>
      <c r="U147" s="206">
        <f>VLOOKUP(Table2[[#This Row],[Course Title]],Data!$A$1:$E$56,5,FALSE)</f>
        <v>1</v>
      </c>
      <c r="V147" s="206">
        <v>7</v>
      </c>
      <c r="W147" s="207">
        <v>0</v>
      </c>
      <c r="X147" s="206">
        <v>3</v>
      </c>
      <c r="Y147" s="206">
        <v>4</v>
      </c>
      <c r="Z147" s="199">
        <v>0</v>
      </c>
      <c r="AA147" s="208">
        <f ca="1">Table2[[#This Row],[End Date]]+2-TODAY()</f>
        <v>-47</v>
      </c>
      <c r="AB147" s="206">
        <f>IF(ISBLANK(#REF!),1,0)</f>
        <v>0</v>
      </c>
      <c r="AC147" s="206">
        <f ca="1">IF(Table2[[#This Row],[Start Date]]&gt;TODAY(),1,)</f>
        <v>0</v>
      </c>
    </row>
    <row r="148" spans="1:29" s="211" customFormat="1" ht="16.5" customHeight="1">
      <c r="A148" s="197"/>
      <c r="B148" s="198" t="s">
        <v>9</v>
      </c>
      <c r="C148" s="199" t="str">
        <f>VLOOKUP(Table2[[#This Row],[Course Title]],Data!$A$1:$E$56,2,FALSE)</f>
        <v>A-493-0020</v>
      </c>
      <c r="D148" s="199">
        <f>VLOOKUP(Table2[[#This Row],[Course Title]],Data!$A$1:$E$56,3,FALSE)</f>
        <v>3888</v>
      </c>
      <c r="E148" s="198" t="s">
        <v>116</v>
      </c>
      <c r="F148" s="201">
        <v>45351</v>
      </c>
      <c r="G148" s="201">
        <v>45351</v>
      </c>
      <c r="H148" s="201"/>
      <c r="I148" s="202">
        <v>0.75</v>
      </c>
      <c r="J148" s="202">
        <v>0.625</v>
      </c>
      <c r="K148" s="202">
        <v>8.3333333333333329E-2</v>
      </c>
      <c r="L148" s="202">
        <v>0</v>
      </c>
      <c r="M148" s="202">
        <v>0.54166666666666663</v>
      </c>
      <c r="N148" s="202">
        <v>0.33333333333333331</v>
      </c>
      <c r="O148" s="213" t="e">
        <v>#REF!</v>
      </c>
      <c r="P148" s="213" t="e">
        <v>#REF!</v>
      </c>
      <c r="Q148" s="214"/>
      <c r="R148" s="215"/>
      <c r="S148" s="215"/>
      <c r="T148" s="206">
        <f>VLOOKUP(Table2[[#This Row],[Course Title]],Data!$A$1:$E$56,4,FALSE)</f>
        <v>30</v>
      </c>
      <c r="U148" s="206">
        <f>VLOOKUP(Table2[[#This Row],[Course Title]],Data!$A$1:$E$56,5,FALSE)</f>
        <v>1</v>
      </c>
      <c r="V148" s="206">
        <v>18</v>
      </c>
      <c r="W148" s="207">
        <v>0</v>
      </c>
      <c r="X148" s="206">
        <v>1</v>
      </c>
      <c r="Y148" s="206">
        <v>0</v>
      </c>
      <c r="Z148" s="206">
        <v>0</v>
      </c>
      <c r="AA148" s="208">
        <f ca="1">Table2[[#This Row],[End Date]]+2-TODAY()</f>
        <v>-46</v>
      </c>
      <c r="AB148" s="206">
        <f>IF(ISBLANK(#REF!),1,0)</f>
        <v>0</v>
      </c>
      <c r="AC148" s="206">
        <f ca="1">IF(Table2[[#This Row],[Start Date]]&gt;TODAY(),1,)</f>
        <v>0</v>
      </c>
    </row>
    <row r="149" spans="1:29" s="196" customFormat="1" ht="16.5" customHeight="1">
      <c r="A149" s="197"/>
      <c r="B149" s="198" t="s">
        <v>184</v>
      </c>
      <c r="C149" s="199" t="str">
        <f>VLOOKUP(Table2[[#This Row],[Course Title]],Data!$A$1:$E$56,2,FALSE)</f>
        <v>A-4J-0022</v>
      </c>
      <c r="D149" s="199" t="str">
        <f>VLOOKUP(Table2[[#This Row],[Course Title]],Data!$A$1:$E$56,3,FALSE)</f>
        <v>09ER</v>
      </c>
      <c r="E149" s="198" t="s">
        <v>116</v>
      </c>
      <c r="F149" s="200">
        <v>45355</v>
      </c>
      <c r="G149" s="201">
        <v>45359</v>
      </c>
      <c r="H149" s="201"/>
      <c r="I149" s="202">
        <v>0.54166666666666663</v>
      </c>
      <c r="J149" s="202">
        <v>0.41666666666666669</v>
      </c>
      <c r="K149" s="202">
        <v>0.875</v>
      </c>
      <c r="L149" s="202">
        <v>0.79166666666666663</v>
      </c>
      <c r="M149" s="202">
        <v>0.33333333333333331</v>
      </c>
      <c r="N149" s="202">
        <v>0.125</v>
      </c>
      <c r="O149" s="207" t="e">
        <v>#REF!</v>
      </c>
      <c r="P149" s="204" t="e">
        <v>#REF!</v>
      </c>
      <c r="Q149" s="207"/>
      <c r="R149" s="197"/>
      <c r="S149" s="197"/>
      <c r="T149" s="206">
        <f>VLOOKUP(Table2[[#This Row],[Course Title]],Data!$A$1:$E$56,4,FALSE)</f>
        <v>45</v>
      </c>
      <c r="U149" s="206">
        <f>VLOOKUP(Table2[[#This Row],[Course Title]],Data!$A$1:$E$56,5,FALSE)</f>
        <v>5</v>
      </c>
      <c r="V149" s="206">
        <v>16</v>
      </c>
      <c r="W149" s="207">
        <v>0</v>
      </c>
      <c r="X149" s="206">
        <v>5</v>
      </c>
      <c r="Y149" s="206">
        <v>1</v>
      </c>
      <c r="Z149" s="206">
        <v>0</v>
      </c>
      <c r="AA149" s="208">
        <f ca="1">Table2[[#This Row],[End Date]]+2-TODAY()</f>
        <v>-38</v>
      </c>
      <c r="AB149" s="206">
        <f>IF(ISBLANK(#REF!),1,0)</f>
        <v>0</v>
      </c>
      <c r="AC149" s="206">
        <f ca="1">IF(Table2[[#This Row],[Start Date]]&gt;TODAY(),1,)</f>
        <v>0</v>
      </c>
    </row>
    <row r="150" spans="1:29" s="196" customFormat="1" ht="16.5" customHeight="1">
      <c r="A150" s="198"/>
      <c r="B150" s="198" t="s">
        <v>236</v>
      </c>
      <c r="C150" s="199" t="str">
        <f>VLOOKUP(Table2[[#This Row],[Course Title]],Data!$A$1:$E$56,2,FALSE)</f>
        <v>A-493-0103</v>
      </c>
      <c r="D150" s="199" t="str">
        <f>VLOOKUP(Table2[[#This Row],[Course Title]],Data!$A$1:$E$56,3,FALSE)</f>
        <v>12JY</v>
      </c>
      <c r="E150" s="209" t="s">
        <v>140</v>
      </c>
      <c r="F150" s="201">
        <v>45355</v>
      </c>
      <c r="G150" s="201">
        <v>45359</v>
      </c>
      <c r="H150" s="203">
        <v>0.33333333333333331</v>
      </c>
      <c r="I150" s="203"/>
      <c r="J150" s="201"/>
      <c r="K150" s="201"/>
      <c r="L150" s="201"/>
      <c r="M150" s="201"/>
      <c r="N150" s="201"/>
      <c r="O150" s="204" t="e">
        <v>#REF!</v>
      </c>
      <c r="P150" s="204" t="e">
        <v>#REF!</v>
      </c>
      <c r="Q150" s="205"/>
      <c r="R150" s="197"/>
      <c r="S150" s="197"/>
      <c r="T150" s="206">
        <f>VLOOKUP(Table2[[#This Row],[Course Title]],Data!$A$1:$E$56,4,FALSE)</f>
        <v>25</v>
      </c>
      <c r="U150" s="206">
        <f>VLOOKUP(Table2[[#This Row],[Course Title]],Data!$A$1:$E$56,5,FALSE)</f>
        <v>5</v>
      </c>
      <c r="V150" s="206">
        <v>20</v>
      </c>
      <c r="W150" s="207">
        <v>0</v>
      </c>
      <c r="X150" s="206">
        <v>6</v>
      </c>
      <c r="Y150" s="206">
        <v>0</v>
      </c>
      <c r="Z150" s="206">
        <v>0</v>
      </c>
      <c r="AA150" s="208">
        <f ca="1">Table2[[#This Row],[End Date]]+2-TODAY()</f>
        <v>-38</v>
      </c>
      <c r="AB150" s="206">
        <f>IF(ISBLANK(#REF!),1,0)</f>
        <v>0</v>
      </c>
      <c r="AC150" s="206">
        <f ca="1">IF(Table2[[#This Row],[Start Date]]&gt;TODAY(),1,)</f>
        <v>0</v>
      </c>
    </row>
    <row r="151" spans="1:29" s="196" customFormat="1" ht="14.25" customHeight="1">
      <c r="A151" s="197"/>
      <c r="B151" s="198" t="s">
        <v>242</v>
      </c>
      <c r="C151" s="199" t="str">
        <f>VLOOKUP(Table2[[#This Row],[Course Title]],Data!$A$1:$E$56,2,FALSE)</f>
        <v>A-493-0061</v>
      </c>
      <c r="D151" s="199" t="str">
        <f>VLOOKUP(Table2[[#This Row],[Course Title]],Data!$A$1:$E$56,3,FALSE)</f>
        <v>288E</v>
      </c>
      <c r="E151" s="198" t="s">
        <v>116</v>
      </c>
      <c r="F151" s="201">
        <v>45355</v>
      </c>
      <c r="G151" s="201">
        <v>45359</v>
      </c>
      <c r="H151" s="201"/>
      <c r="I151" s="202">
        <v>0.33333333333333331</v>
      </c>
      <c r="J151" s="202">
        <v>0.20833333333333334</v>
      </c>
      <c r="K151" s="202">
        <v>0.66666666666666663</v>
      </c>
      <c r="L151" s="202">
        <v>0.58333333333333337</v>
      </c>
      <c r="M151" s="202">
        <v>0.125</v>
      </c>
      <c r="N151" s="202">
        <v>0.91666666666666663</v>
      </c>
      <c r="O151" s="204" t="e">
        <v>#REF!</v>
      </c>
      <c r="P151" s="204" t="e">
        <v>#REF!</v>
      </c>
      <c r="Q151" s="204"/>
      <c r="R151" s="197"/>
      <c r="S151" s="197"/>
      <c r="T151" s="206">
        <f>VLOOKUP(Table2[[#This Row],[Course Title]],Data!$A$1:$E$56,4,FALSE)</f>
        <v>45</v>
      </c>
      <c r="U151" s="206">
        <f>VLOOKUP(Table2[[#This Row],[Course Title]],Data!$A$1:$E$56,5,FALSE)</f>
        <v>5</v>
      </c>
      <c r="V151" s="206">
        <v>30</v>
      </c>
      <c r="W151" s="207">
        <v>0</v>
      </c>
      <c r="X151" s="206">
        <v>9</v>
      </c>
      <c r="Y151" s="206">
        <v>1</v>
      </c>
      <c r="Z151" s="206">
        <v>0</v>
      </c>
      <c r="AA151" s="208">
        <f ca="1">Table2[[#This Row],[End Date]]+2-TODAY()</f>
        <v>-38</v>
      </c>
      <c r="AB151" s="206">
        <f>IF(ISBLANK(#REF!),1,0)</f>
        <v>0</v>
      </c>
      <c r="AC151" s="206">
        <f ca="1">IF(Table2[[#This Row],[Start Date]]&gt;TODAY(),1,)</f>
        <v>0</v>
      </c>
    </row>
    <row r="152" spans="1:29" s="196" customFormat="1" ht="14.25" customHeight="1">
      <c r="A152" s="197"/>
      <c r="B152" s="198" t="s">
        <v>248</v>
      </c>
      <c r="C152" s="199" t="str">
        <f>VLOOKUP(Table2[[#This Row],[Course Title]],Data!$A$1:$E$56,2,FALSE)</f>
        <v>A-322-2604</v>
      </c>
      <c r="D152" s="199" t="str">
        <f>VLOOKUP(Table2[[#This Row],[Course Title]],Data!$A$1:$E$56,3,FALSE)</f>
        <v>10ZZ</v>
      </c>
      <c r="E152" s="198" t="s">
        <v>116</v>
      </c>
      <c r="F152" s="201">
        <v>45355</v>
      </c>
      <c r="G152" s="201">
        <v>45359</v>
      </c>
      <c r="H152" s="201"/>
      <c r="I152" s="202">
        <v>0.54166666666666663</v>
      </c>
      <c r="J152" s="202">
        <v>0.41666666666666669</v>
      </c>
      <c r="K152" s="202">
        <v>0.875</v>
      </c>
      <c r="L152" s="202">
        <v>0.79166666666666663</v>
      </c>
      <c r="M152" s="202">
        <v>0.33333333333333331</v>
      </c>
      <c r="N152" s="202">
        <v>0.125</v>
      </c>
      <c r="O152" s="218" t="e">
        <v>#REF!</v>
      </c>
      <c r="P152" s="213" t="e">
        <v>#REF!</v>
      </c>
      <c r="Q152" s="218"/>
      <c r="R152" s="215"/>
      <c r="S152" s="215"/>
      <c r="T152" s="206">
        <f>VLOOKUP(Table2[[#This Row],[Course Title]],Data!$A$1:$E$56,4,FALSE)</f>
        <v>45</v>
      </c>
      <c r="U152" s="206">
        <f>VLOOKUP(Table2[[#This Row],[Course Title]],Data!$A$1:$E$56,5,FALSE)</f>
        <v>5</v>
      </c>
      <c r="V152" s="206">
        <v>41</v>
      </c>
      <c r="W152" s="207">
        <v>3</v>
      </c>
      <c r="X152" s="206">
        <v>3</v>
      </c>
      <c r="Y152" s="206">
        <v>2</v>
      </c>
      <c r="Z152" s="206">
        <v>0</v>
      </c>
      <c r="AA152" s="208">
        <f ca="1">Table2[[#This Row],[End Date]]+2-TODAY()</f>
        <v>-38</v>
      </c>
      <c r="AB152" s="206">
        <f>IF(ISBLANK(#REF!),1,0)</f>
        <v>0</v>
      </c>
      <c r="AC152" s="206">
        <f ca="1">IF(Table2[[#This Row],[Start Date]]&gt;TODAY(),1,)</f>
        <v>0</v>
      </c>
    </row>
    <row r="153" spans="1:29" s="196" customFormat="1" ht="14.25" customHeight="1">
      <c r="A153" s="215"/>
      <c r="B153" s="224" t="s">
        <v>25</v>
      </c>
      <c r="C153" s="225" t="str">
        <f>VLOOKUP(Table2[[#This Row],[Course Title]],Data!$A$1:$E$56,2,FALSE)</f>
        <v>A-493-2300</v>
      </c>
      <c r="D153" s="225" t="str">
        <f>VLOOKUP(Table2[[#This Row],[Course Title]],Data!$A$1:$E$56,3,FALSE)</f>
        <v>993F</v>
      </c>
      <c r="E153" s="224" t="s">
        <v>148</v>
      </c>
      <c r="F153" s="226">
        <v>45355</v>
      </c>
      <c r="G153" s="226">
        <v>45356</v>
      </c>
      <c r="H153" s="227">
        <v>0.33333333333333331</v>
      </c>
      <c r="I153" s="227"/>
      <c r="J153" s="226"/>
      <c r="K153" s="226"/>
      <c r="L153" s="226"/>
      <c r="M153" s="226"/>
      <c r="N153" s="226"/>
      <c r="O153" s="218" t="e">
        <v>#REF!</v>
      </c>
      <c r="P153" s="213" t="e">
        <v>#REF!</v>
      </c>
      <c r="Q153" s="218"/>
      <c r="R153" s="215"/>
      <c r="S153" s="215"/>
      <c r="T153" s="228">
        <f>VLOOKUP(Table2[[#This Row],[Course Title]],Data!$A$1:$E$56,4,FALSE)</f>
        <v>30</v>
      </c>
      <c r="U153" s="228">
        <f>VLOOKUP(Table2[[#This Row],[Course Title]],Data!$A$1:$E$56,5,FALSE)</f>
        <v>2</v>
      </c>
      <c r="V153" s="228"/>
      <c r="W153" s="218"/>
      <c r="X153" s="228"/>
      <c r="Y153" s="228"/>
      <c r="Z153" s="228"/>
      <c r="AA153" s="229">
        <f ca="1">Table2[[#This Row],[End Date]]+2-TODAY()</f>
        <v>-41</v>
      </c>
      <c r="AB153" s="228">
        <f>IF(ISBLANK(#REF!),1,0)</f>
        <v>0</v>
      </c>
      <c r="AC153" s="228">
        <f ca="1">IF(Table2[[#This Row],[Start Date]]&gt;TODAY(),1,)</f>
        <v>0</v>
      </c>
    </row>
    <row r="154" spans="1:29" s="196" customFormat="1" ht="14.25" customHeight="1">
      <c r="A154" s="197" t="s">
        <v>479</v>
      </c>
      <c r="B154" s="198" t="s">
        <v>276</v>
      </c>
      <c r="C154" s="199" t="str">
        <f>VLOOKUP(Table2[[#This Row],[Course Title]],Data!$A$1:$E$56,2,FALSE)</f>
        <v>A-493-0550</v>
      </c>
      <c r="D154" s="199" t="str">
        <f>VLOOKUP(Table2[[#This Row],[Course Title]],Data!$A$1:$E$56,3,FALSE)</f>
        <v>09K5</v>
      </c>
      <c r="E154" s="198" t="s">
        <v>116</v>
      </c>
      <c r="F154" s="201">
        <v>45355</v>
      </c>
      <c r="G154" s="201">
        <v>45359</v>
      </c>
      <c r="H154" s="201"/>
      <c r="I154" s="202">
        <v>0.33333333333333331</v>
      </c>
      <c r="J154" s="202">
        <v>0.20833333333333334</v>
      </c>
      <c r="K154" s="202">
        <v>0.66666666666666663</v>
      </c>
      <c r="L154" s="202">
        <v>0.58333333333333337</v>
      </c>
      <c r="M154" s="202">
        <v>0.125</v>
      </c>
      <c r="N154" s="202">
        <v>0.91666666666666663</v>
      </c>
      <c r="O154" s="204" t="e">
        <v>#REF!</v>
      </c>
      <c r="P154" s="204" t="e">
        <v>#REF!</v>
      </c>
      <c r="Q154" s="205"/>
      <c r="R154" s="197"/>
      <c r="S154" s="197"/>
      <c r="T154" s="206">
        <f>VLOOKUP(Table2[[#This Row],[Course Title]],Data!$A$1:$E$56,4,FALSE)</f>
        <v>45</v>
      </c>
      <c r="U154" s="206">
        <f>VLOOKUP(Table2[[#This Row],[Course Title]],Data!$A$1:$E$56,5,FALSE)</f>
        <v>4</v>
      </c>
      <c r="V154" s="206">
        <v>17</v>
      </c>
      <c r="W154" s="207">
        <v>0</v>
      </c>
      <c r="X154" s="206">
        <v>9</v>
      </c>
      <c r="Y154" s="206">
        <v>0</v>
      </c>
      <c r="Z154" s="206">
        <v>0</v>
      </c>
      <c r="AA154" s="208">
        <f ca="1">Table2[[#This Row],[End Date]]+2-TODAY()</f>
        <v>-38</v>
      </c>
      <c r="AB154" s="206">
        <f>IF(ISBLANK(#REF!),1,0)</f>
        <v>0</v>
      </c>
      <c r="AC154" s="206">
        <f ca="1">IF(Table2[[#This Row],[Start Date]]&gt;TODAY(),1,)</f>
        <v>0</v>
      </c>
    </row>
    <row r="155" spans="1:29" s="196" customFormat="1" ht="14.25" customHeight="1">
      <c r="A155" s="197"/>
      <c r="B155" s="198" t="s">
        <v>24</v>
      </c>
      <c r="C155" s="199" t="str">
        <f>VLOOKUP(Table2[[#This Row],[Course Title]],Data!$A$1:$E$56,2,FALSE)</f>
        <v>A-493-0083</v>
      </c>
      <c r="D155" s="199" t="str">
        <f>VLOOKUP(Table2[[#This Row],[Course Title]],Data!$A$1:$E$56,3,FALSE)</f>
        <v>339E</v>
      </c>
      <c r="E155" s="198" t="s">
        <v>116</v>
      </c>
      <c r="F155" s="200">
        <v>45356</v>
      </c>
      <c r="G155" s="200">
        <v>45356</v>
      </c>
      <c r="H155" s="200"/>
      <c r="I155" s="202">
        <v>0.33333333333333331</v>
      </c>
      <c r="J155" s="202">
        <v>0.20833333333333334</v>
      </c>
      <c r="K155" s="202">
        <v>0.66666666666666663</v>
      </c>
      <c r="L155" s="202">
        <v>0.58333333333333337</v>
      </c>
      <c r="M155" s="202">
        <v>0.125</v>
      </c>
      <c r="N155" s="202">
        <v>0.91666666666666663</v>
      </c>
      <c r="O155" s="218" t="e">
        <v>#REF!</v>
      </c>
      <c r="P155" s="213" t="e">
        <v>#REF!</v>
      </c>
      <c r="Q155" s="218"/>
      <c r="R155" s="215"/>
      <c r="S155" s="215"/>
      <c r="T155" s="206">
        <f>VLOOKUP(Table2[[#This Row],[Course Title]],Data!$A$1:$E$56,4,FALSE)</f>
        <v>30</v>
      </c>
      <c r="U155" s="206">
        <f>VLOOKUP(Table2[[#This Row],[Course Title]],Data!$A$1:$E$56,5,FALSE)</f>
        <v>1</v>
      </c>
      <c r="V155" s="206">
        <v>29</v>
      </c>
      <c r="W155" s="207">
        <v>0</v>
      </c>
      <c r="X155" s="206">
        <v>1</v>
      </c>
      <c r="Y155" s="206">
        <v>2</v>
      </c>
      <c r="Z155" s="206">
        <v>0</v>
      </c>
      <c r="AA155" s="208">
        <f ca="1">Table2[[#This Row],[End Date]]+2-TODAY()</f>
        <v>-41</v>
      </c>
      <c r="AB155" s="206">
        <f>IF(ISBLANK(#REF!),1,0)</f>
        <v>0</v>
      </c>
      <c r="AC155" s="206">
        <f ca="1">IF(Table2[[#This Row],[Start Date]]&gt;TODAY(),1,)</f>
        <v>0</v>
      </c>
    </row>
    <row r="156" spans="1:29" s="196" customFormat="1" ht="16.5" customHeight="1">
      <c r="A156" s="197"/>
      <c r="B156" s="198" t="s">
        <v>19</v>
      </c>
      <c r="C156" s="199" t="str">
        <f>VLOOKUP(Table2[[#This Row],[Course Title]],Data!$A$1:$E$56,2,FALSE)</f>
        <v>A-493-0099</v>
      </c>
      <c r="D156" s="199" t="str">
        <f>VLOOKUP(Table2[[#This Row],[Course Title]],Data!$A$1:$E$56,3,FALSE)</f>
        <v>12JW</v>
      </c>
      <c r="E156" s="198" t="s">
        <v>116</v>
      </c>
      <c r="F156" s="201">
        <v>45356</v>
      </c>
      <c r="G156" s="201">
        <v>45358</v>
      </c>
      <c r="H156" s="201"/>
      <c r="I156" s="202">
        <v>0.33333333333333331</v>
      </c>
      <c r="J156" s="202">
        <v>0.20833333333333334</v>
      </c>
      <c r="K156" s="202">
        <v>0.66666666666666663</v>
      </c>
      <c r="L156" s="202">
        <v>0.58333333333333337</v>
      </c>
      <c r="M156" s="202">
        <v>0.125</v>
      </c>
      <c r="N156" s="202">
        <v>0.91666666666666663</v>
      </c>
      <c r="O156" s="204" t="e">
        <v>#REF!</v>
      </c>
      <c r="P156" s="204" t="e">
        <v>#REF!</v>
      </c>
      <c r="Q156" s="205"/>
      <c r="R156" s="197"/>
      <c r="S156" s="197"/>
      <c r="T156" s="206">
        <f>VLOOKUP(Table2[[#This Row],[Course Title]],Data!$A$1:$E$56,4,FALSE)</f>
        <v>45</v>
      </c>
      <c r="U156" s="206">
        <f>VLOOKUP(Table2[[#This Row],[Course Title]],Data!$A$1:$E$56,5,FALSE)</f>
        <v>3</v>
      </c>
      <c r="V156" s="206">
        <v>34</v>
      </c>
      <c r="W156" s="207">
        <v>1</v>
      </c>
      <c r="X156" s="206">
        <v>9</v>
      </c>
      <c r="Y156" s="206">
        <v>0</v>
      </c>
      <c r="Z156" s="206">
        <v>0</v>
      </c>
      <c r="AA156" s="208">
        <f ca="1">Table2[[#This Row],[End Date]]+2-TODAY()</f>
        <v>-39</v>
      </c>
      <c r="AB156" s="206">
        <f>IF(ISBLANK(#REF!),1,0)</f>
        <v>0</v>
      </c>
      <c r="AC156" s="206">
        <f ca="1">IF(Table2[[#This Row],[Start Date]]&gt;TODAY(),1,)</f>
        <v>0</v>
      </c>
    </row>
    <row r="157" spans="1:29" s="196" customFormat="1" ht="14.25" customHeight="1">
      <c r="A157" s="198"/>
      <c r="B157" s="198" t="s">
        <v>266</v>
      </c>
      <c r="C157" s="199" t="str">
        <f>VLOOKUP(Table2[[#This Row],[Course Title]],Data!$A$1:$E$56,2,FALSE)</f>
        <v>A-493-0331</v>
      </c>
      <c r="D157" s="199" t="str">
        <f>VLOOKUP(Table2[[#This Row],[Course Title]],Data!$A$1:$E$56,3,FALSE)</f>
        <v>10UG</v>
      </c>
      <c r="E157" s="198" t="s">
        <v>116</v>
      </c>
      <c r="F157" s="201">
        <v>45356</v>
      </c>
      <c r="G157" s="201">
        <v>45358</v>
      </c>
      <c r="H157" s="201"/>
      <c r="I157" s="202">
        <v>0.5</v>
      </c>
      <c r="J157" s="202">
        <v>0.375</v>
      </c>
      <c r="K157" s="202">
        <v>0.83333333333333337</v>
      </c>
      <c r="L157" s="202">
        <v>0.75</v>
      </c>
      <c r="M157" s="202">
        <v>0.29166666666666669</v>
      </c>
      <c r="N157" s="202">
        <v>8.3333333333333329E-2</v>
      </c>
      <c r="O157" s="204" t="e">
        <v>#REF!</v>
      </c>
      <c r="P157" s="204" t="e">
        <v>#REF!</v>
      </c>
      <c r="Q157" s="205"/>
      <c r="R157" s="197"/>
      <c r="S157" s="197"/>
      <c r="T157" s="206">
        <f>VLOOKUP(Table2[[#This Row],[Course Title]],Data!$A$1:$E$56,4,FALSE)</f>
        <v>40</v>
      </c>
      <c r="U157" s="206">
        <f>VLOOKUP(Table2[[#This Row],[Course Title]],Data!$A$1:$E$56,5,FALSE)</f>
        <v>3</v>
      </c>
      <c r="V157" s="206">
        <v>30</v>
      </c>
      <c r="W157" s="207">
        <v>0</v>
      </c>
      <c r="X157" s="206">
        <v>12</v>
      </c>
      <c r="Y157" s="206">
        <v>0</v>
      </c>
      <c r="Z157" s="206">
        <v>0</v>
      </c>
      <c r="AA157" s="208">
        <f ca="1">Table2[[#This Row],[End Date]]+2-TODAY()</f>
        <v>-39</v>
      </c>
      <c r="AB157" s="206">
        <f>IF(ISBLANK(#REF!),1,0)</f>
        <v>0</v>
      </c>
      <c r="AC157" s="206">
        <f ca="1">IF(Table2[[#This Row],[Start Date]]&gt;TODAY(),1,)</f>
        <v>0</v>
      </c>
    </row>
    <row r="158" spans="1:29" s="234" customFormat="1" ht="14.25" customHeight="1">
      <c r="A158" s="215"/>
      <c r="B158" s="224" t="s">
        <v>27</v>
      </c>
      <c r="C158" s="225" t="str">
        <f>VLOOKUP(Table2[[#This Row],[Course Title]],Data!$A$1:$E$56,2,FALSE)</f>
        <v>A-493-0216</v>
      </c>
      <c r="D158" s="225" t="str">
        <f>VLOOKUP(Table2[[#This Row],[Course Title]],Data!$A$1:$E$56,3,FALSE)</f>
        <v>12X8</v>
      </c>
      <c r="E158" s="224" t="s">
        <v>148</v>
      </c>
      <c r="F158" s="239">
        <v>45357</v>
      </c>
      <c r="G158" s="239">
        <v>45357</v>
      </c>
      <c r="H158" s="227">
        <v>0.33333333333333331</v>
      </c>
      <c r="I158" s="227"/>
      <c r="J158" s="226"/>
      <c r="K158" s="226"/>
      <c r="L158" s="226"/>
      <c r="M158" s="226"/>
      <c r="N158" s="226"/>
      <c r="O158" s="218" t="e">
        <v>#REF!</v>
      </c>
      <c r="P158" s="213" t="e">
        <v>#REF!</v>
      </c>
      <c r="Q158" s="218"/>
      <c r="R158" s="215"/>
      <c r="S158" s="215"/>
      <c r="T158" s="228">
        <f>VLOOKUP(Table2[[#This Row],[Course Title]],Data!$A$1:$E$56,4,FALSE)</f>
        <v>30</v>
      </c>
      <c r="U158" s="228">
        <f>VLOOKUP(Table2[[#This Row],[Course Title]],Data!$A$1:$E$56,5,FALSE)</f>
        <v>1</v>
      </c>
      <c r="V158" s="228"/>
      <c r="W158" s="218"/>
      <c r="X158" s="228">
        <v>0</v>
      </c>
      <c r="Y158" s="228"/>
      <c r="Z158" s="225"/>
      <c r="AA158" s="241">
        <f ca="1">Table2[[#This Row],[End Date]]+2-TODAY()</f>
        <v>-40</v>
      </c>
      <c r="AB158" s="228">
        <f>IF(ISBLANK(#REF!),1,0)</f>
        <v>0</v>
      </c>
      <c r="AC158" s="225">
        <f ca="1">IF(Table2[[#This Row],[Start Date]]&gt;TODAY(),1,)</f>
        <v>0</v>
      </c>
    </row>
    <row r="159" spans="1:29" s="196" customFormat="1" ht="14.25" customHeight="1">
      <c r="A159" s="209" t="s">
        <v>480</v>
      </c>
      <c r="B159" s="198" t="s">
        <v>309</v>
      </c>
      <c r="C159" s="199" t="str">
        <f>VLOOKUP(Table2[[#This Row],[Course Title]],Data!$A$1:$E$56,2,FALSE)</f>
        <v>A-493-2099</v>
      </c>
      <c r="D159" s="199" t="str">
        <f>VLOOKUP(Table2[[#This Row],[Course Title]],Data!$A$1:$E$56,3,FALSE)</f>
        <v>438G</v>
      </c>
      <c r="E159" s="198" t="s">
        <v>329</v>
      </c>
      <c r="F159" s="201">
        <v>45362</v>
      </c>
      <c r="G159" s="201">
        <v>45363</v>
      </c>
      <c r="H159" s="203"/>
      <c r="I159" s="203"/>
      <c r="J159" s="201"/>
      <c r="K159" s="201"/>
      <c r="L159" s="201"/>
      <c r="M159" s="201"/>
      <c r="N159" s="201"/>
      <c r="O159" s="207"/>
      <c r="P159" s="204"/>
      <c r="Q159" s="207"/>
      <c r="R159" s="197"/>
      <c r="S159" s="197"/>
      <c r="T159" s="207">
        <v>0</v>
      </c>
      <c r="U159" s="204">
        <v>2</v>
      </c>
      <c r="V159" s="207">
        <v>28</v>
      </c>
      <c r="W159" s="207">
        <v>0</v>
      </c>
      <c r="X159" s="206">
        <v>0</v>
      </c>
      <c r="Y159" s="206">
        <v>0</v>
      </c>
      <c r="Z159" s="199">
        <v>0</v>
      </c>
      <c r="AA159" s="242">
        <f ca="1">Table2[[#This Row],[End Date]]+2-TODAY()</f>
        <v>-34</v>
      </c>
      <c r="AB159" s="206">
        <f>IF(ISBLANK(#REF!),1,0)</f>
        <v>0</v>
      </c>
      <c r="AC159" s="199">
        <f ca="1">IF(Table2[[#This Row],[Start Date]]&gt;TODAY(),1,)</f>
        <v>0</v>
      </c>
    </row>
    <row r="160" spans="1:29" s="196" customFormat="1" ht="14.25" customHeight="1">
      <c r="A160" s="197"/>
      <c r="B160" s="198" t="s">
        <v>215</v>
      </c>
      <c r="C160" s="199" t="str">
        <f>VLOOKUP(Table2[[#This Row],[Course Title]],Data!$A$1:$E$56,2,FALSE)</f>
        <v>A-493-0665</v>
      </c>
      <c r="D160" s="199" t="str">
        <f>VLOOKUP(Table2[[#This Row],[Course Title]],Data!$A$1:$E$56,3,FALSE)</f>
        <v>10KW</v>
      </c>
      <c r="E160" s="198" t="s">
        <v>116</v>
      </c>
      <c r="F160" s="201">
        <v>45362</v>
      </c>
      <c r="G160" s="201">
        <v>45366</v>
      </c>
      <c r="H160" s="201"/>
      <c r="I160" s="202">
        <v>0.33333333333333331</v>
      </c>
      <c r="J160" s="202">
        <v>0.20833333333333334</v>
      </c>
      <c r="K160" s="202">
        <v>0.625</v>
      </c>
      <c r="L160" s="202">
        <v>0.54166666666666663</v>
      </c>
      <c r="M160" s="202">
        <v>8.3333333333333329E-2</v>
      </c>
      <c r="N160" s="202">
        <v>0.875</v>
      </c>
      <c r="O160" s="207" t="e">
        <v>#REF!</v>
      </c>
      <c r="P160" s="204" t="e">
        <v>#REF!</v>
      </c>
      <c r="Q160" s="207"/>
      <c r="R160" s="197"/>
      <c r="S160" s="197"/>
      <c r="T160" s="206">
        <f>VLOOKUP(Table2[[#This Row],[Course Title]],Data!$A$1:$E$56,4,FALSE)</f>
        <v>45</v>
      </c>
      <c r="U160" s="206">
        <f>VLOOKUP(Table2[[#This Row],[Course Title]],Data!$A$1:$E$56,5,FALSE)</f>
        <v>5</v>
      </c>
      <c r="V160" s="206">
        <v>40</v>
      </c>
      <c r="W160" s="207">
        <v>2</v>
      </c>
      <c r="X160" s="206">
        <v>4</v>
      </c>
      <c r="Y160" s="206">
        <v>1</v>
      </c>
      <c r="Z160" s="206">
        <v>0</v>
      </c>
      <c r="AA160" s="208">
        <f ca="1">Table2[[#This Row],[End Date]]+2-TODAY()</f>
        <v>-31</v>
      </c>
      <c r="AB160" s="206">
        <f>IF(ISBLANK(#REF!),1,0)</f>
        <v>0</v>
      </c>
      <c r="AC160" s="206">
        <f ca="1">IF(Table2[[#This Row],[Start Date]]&gt;TODAY(),1,)</f>
        <v>0</v>
      </c>
    </row>
    <row r="161" spans="1:29" s="211" customFormat="1">
      <c r="A161" s="198"/>
      <c r="B161" s="198" t="s">
        <v>236</v>
      </c>
      <c r="C161" s="199" t="str">
        <f>VLOOKUP(Table2[[#This Row],[Course Title]],Data!$A$1:$E$56,2,FALSE)</f>
        <v>A-493-0103</v>
      </c>
      <c r="D161" s="199" t="str">
        <f>VLOOKUP(Table2[[#This Row],[Course Title]],Data!$A$1:$E$56,3,FALSE)</f>
        <v>12JY</v>
      </c>
      <c r="E161" s="209" t="s">
        <v>140</v>
      </c>
      <c r="F161" s="201">
        <v>45362</v>
      </c>
      <c r="G161" s="201">
        <v>45366</v>
      </c>
      <c r="H161" s="203">
        <v>0.33333333333333331</v>
      </c>
      <c r="I161" s="203"/>
      <c r="J161" s="201"/>
      <c r="K161" s="201"/>
      <c r="L161" s="201"/>
      <c r="M161" s="201"/>
      <c r="N161" s="201"/>
      <c r="O161" s="204" t="e">
        <v>#REF!</v>
      </c>
      <c r="P161" s="204" t="e">
        <v>#REF!</v>
      </c>
      <c r="Q161" s="204"/>
      <c r="R161" s="197"/>
      <c r="S161" s="197"/>
      <c r="T161" s="206">
        <f>VLOOKUP(Table2[[#This Row],[Course Title]],Data!$A$1:$E$56,4,FALSE)</f>
        <v>25</v>
      </c>
      <c r="U161" s="206">
        <f>VLOOKUP(Table2[[#This Row],[Course Title]],Data!$A$1:$E$56,5,FALSE)</f>
        <v>5</v>
      </c>
      <c r="V161" s="206">
        <v>25</v>
      </c>
      <c r="W161" s="207">
        <v>0</v>
      </c>
      <c r="X161" s="206">
        <v>3</v>
      </c>
      <c r="Y161" s="206">
        <v>1</v>
      </c>
      <c r="Z161" s="206">
        <v>0</v>
      </c>
      <c r="AA161" s="208">
        <f ca="1">Table2[[#This Row],[End Date]]+2-TODAY()</f>
        <v>-31</v>
      </c>
      <c r="AB161" s="206">
        <f>IF(ISBLANK(#REF!),1,0)</f>
        <v>0</v>
      </c>
      <c r="AC161" s="206">
        <f ca="1">IF(Table2[[#This Row],[Start Date]]&gt;TODAY(),1,)</f>
        <v>0</v>
      </c>
    </row>
    <row r="162" spans="1:29" s="196" customFormat="1" ht="14.25" customHeight="1">
      <c r="A162" s="197"/>
      <c r="B162" s="198" t="s">
        <v>14</v>
      </c>
      <c r="C162" s="199" t="str">
        <f>VLOOKUP(Table2[[#This Row],[Course Title]],Data!$A$1:$E$56,2,FALSE)</f>
        <v>A-493-0030</v>
      </c>
      <c r="D162" s="199" t="str">
        <f>VLOOKUP(Table2[[#This Row],[Course Title]],Data!$A$1:$E$56,3,FALSE)</f>
        <v>286X</v>
      </c>
      <c r="E162" s="198" t="s">
        <v>156</v>
      </c>
      <c r="F162" s="201">
        <v>45362</v>
      </c>
      <c r="G162" s="201">
        <v>45366</v>
      </c>
      <c r="H162" s="203">
        <v>0.33333333333333331</v>
      </c>
      <c r="I162" s="203"/>
      <c r="J162" s="201"/>
      <c r="K162" s="201"/>
      <c r="L162" s="201"/>
      <c r="M162" s="201"/>
      <c r="N162" s="201"/>
      <c r="O162" s="207" t="e">
        <v>#REF!</v>
      </c>
      <c r="P162" s="204" t="e">
        <v>#REF!</v>
      </c>
      <c r="Q162" s="207"/>
      <c r="R162" s="197"/>
      <c r="S162" s="197"/>
      <c r="T162" s="206">
        <f>VLOOKUP(Table2[[#This Row],[Course Title]],Data!$A$1:$E$56,4,FALSE)</f>
        <v>25</v>
      </c>
      <c r="U162" s="206">
        <f>VLOOKUP(Table2[[#This Row],[Course Title]],Data!$A$1:$E$56,5,FALSE)</f>
        <v>5</v>
      </c>
      <c r="V162" s="206">
        <v>7</v>
      </c>
      <c r="W162" s="207">
        <v>1</v>
      </c>
      <c r="X162" s="206">
        <v>0</v>
      </c>
      <c r="Y162" s="206">
        <v>1</v>
      </c>
      <c r="Z162" s="206">
        <v>1</v>
      </c>
      <c r="AA162" s="208">
        <f ca="1">Table2[[#This Row],[End Date]]+2-TODAY()</f>
        <v>-31</v>
      </c>
      <c r="AB162" s="206">
        <f>IF(ISBLANK(#REF!),1,0)</f>
        <v>0</v>
      </c>
      <c r="AC162" s="206">
        <f ca="1">IF(Table2[[#This Row],[Start Date]]&gt;TODAY(),1,)</f>
        <v>0</v>
      </c>
    </row>
    <row r="163" spans="1:29" s="197" customFormat="1">
      <c r="A163" s="197" t="s">
        <v>479</v>
      </c>
      <c r="B163" s="198" t="s">
        <v>15</v>
      </c>
      <c r="C163" s="199" t="str">
        <f>VLOOKUP(Table2[[#This Row],[Course Title]],Data!$A$1:$E$56,2,FALSE)</f>
        <v>A-493-0021</v>
      </c>
      <c r="D163" s="199" t="str">
        <f>VLOOKUP(Table2[[#This Row],[Course Title]],Data!$A$1:$E$56,3,FALSE)</f>
        <v>18BN</v>
      </c>
      <c r="E163" s="198" t="s">
        <v>120</v>
      </c>
      <c r="F163" s="201">
        <v>45362</v>
      </c>
      <c r="G163" s="201">
        <v>45366</v>
      </c>
      <c r="H163" s="203">
        <v>0.33333333333333331</v>
      </c>
      <c r="I163" s="203"/>
      <c r="J163" s="201"/>
      <c r="K163" s="201"/>
      <c r="L163" s="201"/>
      <c r="M163" s="201"/>
      <c r="N163" s="201"/>
      <c r="O163" s="204" t="e">
        <v>#REF!</v>
      </c>
      <c r="P163" s="204" t="e">
        <v>#REF!</v>
      </c>
      <c r="Q163" s="205"/>
      <c r="T163" s="206">
        <f>VLOOKUP(Table2[[#This Row],[Course Title]],Data!$A$1:$E$56,4,FALSE)</f>
        <v>35</v>
      </c>
      <c r="U163" s="206">
        <f>VLOOKUP(Table2[[#This Row],[Course Title]],Data!$A$1:$E$56,5,FALSE)</f>
        <v>5</v>
      </c>
      <c r="V163" s="206">
        <v>19</v>
      </c>
      <c r="W163" s="207">
        <v>0</v>
      </c>
      <c r="X163" s="206">
        <v>5</v>
      </c>
      <c r="Y163" s="206">
        <v>0</v>
      </c>
      <c r="Z163" s="206">
        <v>0</v>
      </c>
      <c r="AA163" s="208">
        <f ca="1">Table2[[#This Row],[End Date]]+2-TODAY()</f>
        <v>-31</v>
      </c>
      <c r="AB163" s="206">
        <f>IF(ISBLANK(#REF!),1,0)</f>
        <v>0</v>
      </c>
      <c r="AC163" s="206">
        <f ca="1">IF(Table2[[#This Row],[Start Date]]&gt;TODAY(),1,)</f>
        <v>0</v>
      </c>
    </row>
    <row r="164" spans="1:29" s="197" customFormat="1">
      <c r="A164" s="198"/>
      <c r="B164" s="198" t="s">
        <v>20</v>
      </c>
      <c r="C164" s="199" t="str">
        <f>VLOOKUP(Table2[[#This Row],[Course Title]],Data!$A$1:$E$56,2,FALSE)</f>
        <v xml:space="preserve">A-493-0075 </v>
      </c>
      <c r="D164" s="199" t="str">
        <f>VLOOKUP(Table2[[#This Row],[Course Title]],Data!$A$1:$E$56,3,FALSE)</f>
        <v>714U</v>
      </c>
      <c r="E164" s="198" t="s">
        <v>166</v>
      </c>
      <c r="F164" s="201">
        <v>45362</v>
      </c>
      <c r="G164" s="201">
        <v>45365</v>
      </c>
      <c r="H164" s="203">
        <v>0.33333333333333331</v>
      </c>
      <c r="I164" s="203"/>
      <c r="J164" s="201"/>
      <c r="K164" s="201"/>
      <c r="L164" s="201"/>
      <c r="M164" s="201"/>
      <c r="N164" s="201"/>
      <c r="O164" s="204" t="e">
        <v>#REF!</v>
      </c>
      <c r="P164" s="204" t="e">
        <v>#REF!</v>
      </c>
      <c r="Q164" s="205"/>
      <c r="T164" s="206">
        <f>VLOOKUP(Table2[[#This Row],[Course Title]],Data!$A$1:$E$56,4,FALSE)</f>
        <v>30</v>
      </c>
      <c r="U164" s="206">
        <f>VLOOKUP(Table2[[#This Row],[Course Title]],Data!$A$1:$E$56,5,FALSE)</f>
        <v>4</v>
      </c>
      <c r="V164" s="206">
        <v>23</v>
      </c>
      <c r="W164" s="207">
        <v>0</v>
      </c>
      <c r="X164" s="206">
        <v>4</v>
      </c>
      <c r="Y164" s="206">
        <v>0</v>
      </c>
      <c r="Z164" s="206">
        <v>10</v>
      </c>
      <c r="AA164" s="208">
        <f ca="1">Table2[[#This Row],[End Date]]+2-TODAY()</f>
        <v>-32</v>
      </c>
      <c r="AB164" s="206">
        <f>IF(ISBLANK(#REF!),1,0)</f>
        <v>0</v>
      </c>
      <c r="AC164" s="206">
        <f ca="1">IF(Table2[[#This Row],[Start Date]]&gt;TODAY(),1,)</f>
        <v>0</v>
      </c>
    </row>
    <row r="165" spans="1:29" s="197" customFormat="1">
      <c r="B165" s="198" t="s">
        <v>287</v>
      </c>
      <c r="C165" s="199" t="str">
        <f>VLOOKUP(Table2[[#This Row],[Course Title]],Data!$A$1:$E$56,2,FALSE)</f>
        <v>A-493-0078</v>
      </c>
      <c r="D165" s="199">
        <f>VLOOKUP(Table2[[#This Row],[Course Title]],Data!$A$1:$E$56,3,FALSE)</f>
        <v>1228</v>
      </c>
      <c r="E165" s="198" t="s">
        <v>116</v>
      </c>
      <c r="F165" s="201">
        <v>45362</v>
      </c>
      <c r="G165" s="201">
        <v>45366</v>
      </c>
      <c r="H165" s="201"/>
      <c r="I165" s="202">
        <v>0.33333333333333331</v>
      </c>
      <c r="J165" s="202">
        <v>0.20833333333333334</v>
      </c>
      <c r="K165" s="202">
        <v>0.625</v>
      </c>
      <c r="L165" s="202">
        <v>0.54166666666666663</v>
      </c>
      <c r="M165" s="202">
        <v>8.3333333333333329E-2</v>
      </c>
      <c r="N165" s="202">
        <v>0.875</v>
      </c>
      <c r="O165" s="204" t="e">
        <v>#REF!</v>
      </c>
      <c r="P165" s="204" t="e">
        <v>#REF!</v>
      </c>
      <c r="Q165" s="205"/>
      <c r="T165" s="206">
        <f>VLOOKUP(Table2[[#This Row],[Course Title]],Data!$A$1:$E$56,4,FALSE)</f>
        <v>45</v>
      </c>
      <c r="U165" s="206">
        <f>VLOOKUP(Table2[[#This Row],[Course Title]],Data!$A$1:$E$56,5,FALSE)</f>
        <v>5</v>
      </c>
      <c r="V165" s="206">
        <v>37</v>
      </c>
      <c r="W165" s="207">
        <v>0</v>
      </c>
      <c r="X165" s="206">
        <v>8</v>
      </c>
      <c r="Y165" s="206">
        <v>0</v>
      </c>
      <c r="Z165" s="206">
        <v>0</v>
      </c>
      <c r="AA165" s="208">
        <f ca="1">Table2[[#This Row],[End Date]]+2-TODAY()</f>
        <v>-31</v>
      </c>
      <c r="AB165" s="206">
        <f>IF(ISBLANK(#REF!),1,0)</f>
        <v>0</v>
      </c>
      <c r="AC165" s="206">
        <f ca="1">IF(Table2[[#This Row],[Start Date]]&gt;TODAY(),1,)</f>
        <v>0</v>
      </c>
    </row>
    <row r="166" spans="1:29" s="197" customFormat="1">
      <c r="B166" s="198" t="s">
        <v>312</v>
      </c>
      <c r="C166" s="199" t="str">
        <f>VLOOKUP(Table2[[#This Row],[Course Title]],Data!$A$1:$E$56,2,FALSE)</f>
        <v>A-493-2098</v>
      </c>
      <c r="D166" s="199" t="str">
        <f>VLOOKUP(Table2[[#This Row],[Course Title]],Data!$A$1:$E$56,3,FALSE)</f>
        <v>09WW</v>
      </c>
      <c r="E166" s="198" t="s">
        <v>116</v>
      </c>
      <c r="F166" s="201">
        <v>45362</v>
      </c>
      <c r="G166" s="201">
        <v>45366</v>
      </c>
      <c r="H166" s="201"/>
      <c r="I166" s="202">
        <v>0.54166666666666663</v>
      </c>
      <c r="J166" s="202">
        <v>0.41666666666666669</v>
      </c>
      <c r="K166" s="202">
        <v>0.83333333333333337</v>
      </c>
      <c r="L166" s="202">
        <v>0.75</v>
      </c>
      <c r="M166" s="202">
        <v>0.29166666666666669</v>
      </c>
      <c r="N166" s="202">
        <v>8.3333333333333329E-2</v>
      </c>
      <c r="O166" s="207" t="e">
        <v>#REF!</v>
      </c>
      <c r="P166" s="204" t="e">
        <v>#REF!</v>
      </c>
      <c r="Q166" s="207"/>
      <c r="T166" s="206">
        <f>VLOOKUP(Table2[[#This Row],[Course Title]],Data!$A$1:$E$56,4,FALSE)</f>
        <v>100</v>
      </c>
      <c r="U166" s="206">
        <f>VLOOKUP(Table2[[#This Row],[Course Title]],Data!$A$1:$E$56,5,FALSE)</f>
        <v>5</v>
      </c>
      <c r="V166" s="206">
        <v>78</v>
      </c>
      <c r="W166" s="207">
        <v>6</v>
      </c>
      <c r="X166" s="206">
        <v>20</v>
      </c>
      <c r="Y166" s="206">
        <v>5</v>
      </c>
      <c r="Z166" s="206">
        <v>0</v>
      </c>
      <c r="AA166" s="208">
        <f ca="1">Table2[[#This Row],[End Date]]+2-TODAY()</f>
        <v>-31</v>
      </c>
      <c r="AB166" s="206">
        <f>IF(ISBLANK(#REF!),1,0)</f>
        <v>0</v>
      </c>
      <c r="AC166" s="206">
        <f ca="1">IF(Table2[[#This Row],[Start Date]]&gt;TODAY(),1,)</f>
        <v>0</v>
      </c>
    </row>
    <row r="167" spans="1:29" s="197" customFormat="1">
      <c r="B167" s="198" t="s">
        <v>17</v>
      </c>
      <c r="C167" s="199" t="str">
        <f>VLOOKUP(Table2[[#This Row],[Course Title]],Data!$A$1:$E$56,2,FALSE)</f>
        <v>A-493-0012</v>
      </c>
      <c r="D167" s="199">
        <f>VLOOKUP(Table2[[#This Row],[Course Title]],Data!$A$1:$E$56,3,FALSE)</f>
        <v>3682</v>
      </c>
      <c r="E167" s="198" t="s">
        <v>279</v>
      </c>
      <c r="F167" s="201">
        <v>45362</v>
      </c>
      <c r="G167" s="201">
        <v>45366</v>
      </c>
      <c r="H167" s="203">
        <v>0.33333333333333331</v>
      </c>
      <c r="I167" s="203"/>
      <c r="J167" s="201"/>
      <c r="K167" s="201"/>
      <c r="L167" s="201"/>
      <c r="M167" s="201"/>
      <c r="N167" s="201"/>
      <c r="O167" s="218" t="e">
        <v>#REF!</v>
      </c>
      <c r="P167" s="213" t="e">
        <v>#REF!</v>
      </c>
      <c r="Q167" s="218"/>
      <c r="R167" s="215"/>
      <c r="S167" s="215"/>
      <c r="T167" s="206">
        <f>VLOOKUP(Table2[[#This Row],[Course Title]],Data!$A$1:$E$56,4,FALSE)</f>
        <v>40</v>
      </c>
      <c r="U167" s="206">
        <f>VLOOKUP(Table2[[#This Row],[Course Title]],Data!$A$1:$E$56,5,FALSE)</f>
        <v>5</v>
      </c>
      <c r="V167" s="206">
        <v>32</v>
      </c>
      <c r="W167" s="207">
        <v>0</v>
      </c>
      <c r="X167" s="206">
        <v>4</v>
      </c>
      <c r="Y167" s="206">
        <v>18</v>
      </c>
      <c r="Z167" s="206">
        <v>0</v>
      </c>
      <c r="AA167" s="208">
        <f ca="1">Table2[[#This Row],[End Date]]+2-TODAY()</f>
        <v>-31</v>
      </c>
      <c r="AB167" s="206">
        <f>IF(ISBLANK(#REF!),1,0)</f>
        <v>0</v>
      </c>
      <c r="AC167" s="206">
        <f ca="1">IF(Table2[[#This Row],[Start Date]]&gt;TODAY(),1,)</f>
        <v>0</v>
      </c>
    </row>
    <row r="168" spans="1:29" s="197" customFormat="1">
      <c r="A168" s="199"/>
      <c r="B168" s="198" t="s">
        <v>38</v>
      </c>
      <c r="C168" s="199" t="str">
        <f>VLOOKUP(Table2[[#This Row],[Course Title]],Data!$A$1:$E$56,2,FALSE)</f>
        <v>A-493-0072</v>
      </c>
      <c r="D168" s="199" t="str">
        <f>VLOOKUP(Table2[[#This Row],[Course Title]],Data!$A$1:$E$56,3,FALSE)</f>
        <v>713U</v>
      </c>
      <c r="E168" s="198" t="s">
        <v>157</v>
      </c>
      <c r="F168" s="201">
        <v>45363</v>
      </c>
      <c r="G168" s="201">
        <v>45366</v>
      </c>
      <c r="H168" s="210">
        <v>0.33333333333333331</v>
      </c>
      <c r="I168" s="210"/>
      <c r="J168" s="201"/>
      <c r="K168" s="201"/>
      <c r="L168" s="201"/>
      <c r="M168" s="201"/>
      <c r="N168" s="201"/>
      <c r="O168" s="220" t="e">
        <v>#REF!</v>
      </c>
      <c r="P168" s="213" t="e">
        <v>#REF!</v>
      </c>
      <c r="Q168" s="220"/>
      <c r="R168" s="221"/>
      <c r="S168" s="221"/>
      <c r="T168" s="206">
        <f>VLOOKUP(Table2[[#This Row],[Course Title]],Data!$A$1:$E$56,4,FALSE)</f>
        <v>30</v>
      </c>
      <c r="U168" s="206">
        <f>VLOOKUP(Table2[[#This Row],[Course Title]],Data!$A$1:$E$56,5,FALSE)</f>
        <v>4</v>
      </c>
      <c r="V168" s="222">
        <v>30</v>
      </c>
      <c r="W168" s="207">
        <v>0</v>
      </c>
      <c r="X168" s="206">
        <v>2</v>
      </c>
      <c r="Y168" s="206">
        <v>0</v>
      </c>
      <c r="Z168" s="206">
        <v>0</v>
      </c>
      <c r="AA168" s="208">
        <f ca="1">Table2[[#This Row],[End Date]]+2-TODAY()</f>
        <v>-31</v>
      </c>
      <c r="AB168" s="206">
        <f>IF(ISBLANK(#REF!),1,0)</f>
        <v>0</v>
      </c>
      <c r="AC168" s="206">
        <f ca="1">IF(Table2[[#This Row],[Start Date]]&gt;TODAY(),1,)</f>
        <v>0</v>
      </c>
    </row>
    <row r="169" spans="1:29" s="197" customFormat="1" ht="15" customHeight="1">
      <c r="B169" s="198" t="s">
        <v>38</v>
      </c>
      <c r="C169" s="199" t="str">
        <f>VLOOKUP(Table2[[#This Row],[Course Title]],Data!$A$1:$E$56,2,FALSE)</f>
        <v>A-493-0072</v>
      </c>
      <c r="D169" s="199" t="str">
        <f>VLOOKUP(Table2[[#This Row],[Course Title]],Data!$A$1:$E$56,3,FALSE)</f>
        <v>713U</v>
      </c>
      <c r="E169" s="198" t="s">
        <v>156</v>
      </c>
      <c r="F169" s="201">
        <v>45363</v>
      </c>
      <c r="G169" s="201">
        <v>45366</v>
      </c>
      <c r="H169" s="210">
        <v>0.33333333333333331</v>
      </c>
      <c r="I169" s="210"/>
      <c r="J169" s="201"/>
      <c r="K169" s="201"/>
      <c r="L169" s="201"/>
      <c r="M169" s="201"/>
      <c r="N169" s="201"/>
      <c r="O169" s="213" t="e">
        <v>#REF!</v>
      </c>
      <c r="P169" s="213" t="e">
        <v>#REF!</v>
      </c>
      <c r="Q169" s="233"/>
      <c r="R169" s="215"/>
      <c r="S169" s="224"/>
      <c r="T169" s="206">
        <f>VLOOKUP(Table2[[#This Row],[Course Title]],Data!$A$1:$E$56,4,FALSE)</f>
        <v>30</v>
      </c>
      <c r="U169" s="206">
        <f>VLOOKUP(Table2[[#This Row],[Course Title]],Data!$A$1:$E$56,5,FALSE)</f>
        <v>4</v>
      </c>
      <c r="V169" s="206">
        <v>13</v>
      </c>
      <c r="W169" s="207">
        <v>0</v>
      </c>
      <c r="X169" s="206">
        <v>4</v>
      </c>
      <c r="Y169" s="206">
        <v>0</v>
      </c>
      <c r="Z169" s="206">
        <v>0</v>
      </c>
      <c r="AA169" s="208">
        <f ca="1">Table2[[#This Row],[End Date]]+2-TODAY()</f>
        <v>-31</v>
      </c>
      <c r="AB169" s="206">
        <f>IF(ISBLANK(#REF!),1,0)</f>
        <v>0</v>
      </c>
      <c r="AC169" s="206">
        <f ca="1">IF(Table2[[#This Row],[Start Date]]&gt;TODAY(),1,)</f>
        <v>0</v>
      </c>
    </row>
    <row r="170" spans="1:29" s="197" customFormat="1">
      <c r="B170" s="198" t="s">
        <v>25</v>
      </c>
      <c r="C170" s="199" t="str">
        <f>VLOOKUP(Table2[[#This Row],[Course Title]],Data!$A$1:$E$56,2,FALSE)</f>
        <v>A-493-2300</v>
      </c>
      <c r="D170" s="199" t="str">
        <f>VLOOKUP(Table2[[#This Row],[Course Title]],Data!$A$1:$E$56,3,FALSE)</f>
        <v>993F</v>
      </c>
      <c r="E170" s="238" t="s">
        <v>116</v>
      </c>
      <c r="F170" s="201">
        <v>45369</v>
      </c>
      <c r="G170" s="201">
        <v>45370</v>
      </c>
      <c r="H170" s="203"/>
      <c r="I170" s="202">
        <v>0.33333333333333331</v>
      </c>
      <c r="J170" s="202">
        <v>0.20833333333333334</v>
      </c>
      <c r="K170" s="202">
        <v>0.66666666666666663</v>
      </c>
      <c r="L170" s="202">
        <v>0.58333333333333337</v>
      </c>
      <c r="M170" s="202">
        <v>0.125</v>
      </c>
      <c r="N170" s="202">
        <v>0.91666666666666663</v>
      </c>
      <c r="O170" s="218" t="e">
        <v>#REF!</v>
      </c>
      <c r="P170" s="213" t="e">
        <v>#REF!</v>
      </c>
      <c r="Q170" s="218"/>
      <c r="R170" s="215"/>
      <c r="S170" s="215"/>
      <c r="T170" s="206">
        <f>VLOOKUP(Table2[[#This Row],[Course Title]],Data!$A$1:$E$56,4,FALSE)</f>
        <v>30</v>
      </c>
      <c r="U170" s="206">
        <f>VLOOKUP(Table2[[#This Row],[Course Title]],Data!$A$1:$E$56,5,FALSE)</f>
        <v>2</v>
      </c>
      <c r="V170" s="206">
        <v>35</v>
      </c>
      <c r="W170" s="207">
        <v>0</v>
      </c>
      <c r="X170" s="206">
        <v>6</v>
      </c>
      <c r="Y170" s="206">
        <v>11</v>
      </c>
      <c r="Z170" s="206">
        <v>5</v>
      </c>
      <c r="AA170" s="208">
        <f ca="1">Table2[[#This Row],[End Date]]+2-TODAY()</f>
        <v>-27</v>
      </c>
      <c r="AB170" s="206">
        <f>IF(ISBLANK(#REF!),1,0)</f>
        <v>0</v>
      </c>
      <c r="AC170" s="206">
        <f ca="1">IF(Table2[[#This Row],[Start Date]]&gt;TODAY(),1,)</f>
        <v>0</v>
      </c>
    </row>
    <row r="171" spans="1:29" s="197" customFormat="1">
      <c r="A171" s="197" t="s">
        <v>481</v>
      </c>
      <c r="B171" s="198" t="s">
        <v>17</v>
      </c>
      <c r="C171" s="199" t="str">
        <f>VLOOKUP(Table2[[#This Row],[Course Title]],Data!$A$1:$E$56,2,FALSE)</f>
        <v>A-493-0012</v>
      </c>
      <c r="D171" s="199">
        <f>VLOOKUP(Table2[[#This Row],[Course Title]],Data!$A$1:$E$56,3,FALSE)</f>
        <v>3682</v>
      </c>
      <c r="E171" s="198" t="s">
        <v>207</v>
      </c>
      <c r="F171" s="201">
        <v>45369</v>
      </c>
      <c r="G171" s="201">
        <v>45373</v>
      </c>
      <c r="H171" s="203">
        <v>800</v>
      </c>
      <c r="I171" s="203"/>
      <c r="J171" s="201"/>
      <c r="K171" s="201"/>
      <c r="L171" s="201"/>
      <c r="M171" s="201"/>
      <c r="N171" s="201"/>
      <c r="O171" s="207"/>
      <c r="P171" s="204"/>
      <c r="Q171" s="207"/>
      <c r="T171" s="207">
        <v>40</v>
      </c>
      <c r="U171" s="204">
        <v>5</v>
      </c>
      <c r="V171" s="207">
        <v>31</v>
      </c>
      <c r="W171" s="207">
        <v>0</v>
      </c>
      <c r="X171" s="206">
        <v>0</v>
      </c>
      <c r="Y171" s="206">
        <v>2</v>
      </c>
      <c r="Z171" s="206">
        <v>0</v>
      </c>
      <c r="AA171" s="208">
        <f ca="1">Table2[[#This Row],[End Date]]+2-TODAY()</f>
        <v>-24</v>
      </c>
      <c r="AB171" s="206">
        <f>IF(ISBLANK(#REF!),1,0)</f>
        <v>0</v>
      </c>
      <c r="AC171" s="206">
        <f ca="1">IF(Table2[[#This Row],[Start Date]]&gt;TODAY(),1,)</f>
        <v>0</v>
      </c>
    </row>
    <row r="172" spans="1:29" s="197" customFormat="1">
      <c r="B172" s="198" t="s">
        <v>236</v>
      </c>
      <c r="C172" s="199" t="str">
        <f>VLOOKUP(Table2[[#This Row],[Course Title]],Data!$A$1:$E$56,2,FALSE)</f>
        <v>A-493-0103</v>
      </c>
      <c r="D172" s="199" t="str">
        <f>VLOOKUP(Table2[[#This Row],[Course Title]],Data!$A$1:$E$56,3,FALSE)</f>
        <v>12JY</v>
      </c>
      <c r="E172" s="198" t="s">
        <v>150</v>
      </c>
      <c r="F172" s="201">
        <v>45369</v>
      </c>
      <c r="G172" s="201">
        <v>45373</v>
      </c>
      <c r="H172" s="203">
        <v>0.33333333333333331</v>
      </c>
      <c r="I172" s="203"/>
      <c r="J172" s="201"/>
      <c r="K172" s="201"/>
      <c r="L172" s="201"/>
      <c r="M172" s="201"/>
      <c r="N172" s="201"/>
      <c r="O172" s="204" t="e">
        <v>#REF!</v>
      </c>
      <c r="P172" s="204" t="e">
        <v>#REF!</v>
      </c>
      <c r="Q172" s="205"/>
      <c r="T172" s="206">
        <f>VLOOKUP(Table2[[#This Row],[Course Title]],Data!$A$1:$E$56,4,FALSE)</f>
        <v>25</v>
      </c>
      <c r="U172" s="206">
        <f>VLOOKUP(Table2[[#This Row],[Course Title]],Data!$A$1:$E$56,5,FALSE)</f>
        <v>5</v>
      </c>
      <c r="V172" s="206">
        <v>14</v>
      </c>
      <c r="W172" s="207">
        <v>0</v>
      </c>
      <c r="X172" s="206">
        <v>8</v>
      </c>
      <c r="Y172" s="206">
        <v>0</v>
      </c>
      <c r="Z172" s="206">
        <v>0</v>
      </c>
      <c r="AA172" s="208">
        <f ca="1">Table2[[#This Row],[End Date]]+2-TODAY()</f>
        <v>-24</v>
      </c>
      <c r="AB172" s="206">
        <f>IF(ISBLANK(#REF!),1,0)</f>
        <v>0</v>
      </c>
      <c r="AC172" s="206">
        <f ca="1">IF(Table2[[#This Row],[Start Date]]&gt;TODAY(),1,)</f>
        <v>0</v>
      </c>
    </row>
    <row r="173" spans="1:29" s="197" customFormat="1">
      <c r="A173" s="198" t="s">
        <v>482</v>
      </c>
      <c r="B173" s="198" t="s">
        <v>28</v>
      </c>
      <c r="C173" s="199" t="str">
        <f>VLOOKUP(Table2[[#This Row],[Course Title]],Data!$A$1:$E$56,2,FALSE)</f>
        <v>A-493-0092</v>
      </c>
      <c r="D173" s="199">
        <f>VLOOKUP(Table2[[#This Row],[Course Title]],Data!$A$1:$E$56,3,FALSE)</f>
        <v>5891</v>
      </c>
      <c r="E173" s="209" t="s">
        <v>155</v>
      </c>
      <c r="F173" s="200">
        <v>45369</v>
      </c>
      <c r="G173" s="200">
        <v>45371</v>
      </c>
      <c r="H173" s="203">
        <v>0.33333333333333331</v>
      </c>
      <c r="I173" s="203"/>
      <c r="J173" s="201"/>
      <c r="K173" s="201"/>
      <c r="L173" s="201"/>
      <c r="M173" s="201"/>
      <c r="N173" s="201"/>
      <c r="O173" s="204" t="e">
        <v>#REF!</v>
      </c>
      <c r="P173" s="204" t="e">
        <v>#REF!</v>
      </c>
      <c r="Q173" s="205"/>
      <c r="T173" s="206">
        <f>VLOOKUP(Table2[[#This Row],[Course Title]],Data!$A$1:$E$56,4,FALSE)</f>
        <v>25</v>
      </c>
      <c r="U173" s="206">
        <f>VLOOKUP(Table2[[#This Row],[Course Title]],Data!$A$1:$E$56,5,FALSE)</f>
        <v>3</v>
      </c>
      <c r="V173" s="206">
        <v>12</v>
      </c>
      <c r="W173" s="207">
        <v>0</v>
      </c>
      <c r="X173" s="206">
        <v>2</v>
      </c>
      <c r="Y173" s="206">
        <v>0</v>
      </c>
      <c r="Z173" s="206">
        <v>0</v>
      </c>
      <c r="AA173" s="208">
        <f ca="1">Table2[[#This Row],[End Date]]+2-TODAY()</f>
        <v>-26</v>
      </c>
      <c r="AB173" s="206">
        <f>IF(ISBLANK(#REF!),1,0)</f>
        <v>0</v>
      </c>
      <c r="AC173" s="206">
        <f ca="1">IF(Table2[[#This Row],[Start Date]]&gt;TODAY(),1,)</f>
        <v>0</v>
      </c>
    </row>
    <row r="174" spans="1:29" s="197" customFormat="1">
      <c r="B174" s="198" t="s">
        <v>299</v>
      </c>
      <c r="C174" s="199" t="str">
        <f>VLOOKUP(Table2[[#This Row],[Course Title]],Data!$A$1:$E$56,2,FALSE)</f>
        <v>A-570-0100</v>
      </c>
      <c r="D174" s="199" t="str">
        <f>VLOOKUP(Table2[[#This Row],[Course Title]],Data!$A$1:$E$56,3,FALSE)</f>
        <v>18B7</v>
      </c>
      <c r="E174" s="198" t="s">
        <v>116</v>
      </c>
      <c r="F174" s="201">
        <v>45369</v>
      </c>
      <c r="G174" s="201">
        <v>45372</v>
      </c>
      <c r="H174" s="201"/>
      <c r="I174" s="202">
        <v>0.54166666666666663</v>
      </c>
      <c r="J174" s="202">
        <v>0.41666666666666669</v>
      </c>
      <c r="K174" s="202">
        <v>0.83333333333333337</v>
      </c>
      <c r="L174" s="202">
        <v>0.75</v>
      </c>
      <c r="M174" s="202">
        <v>0.29166666666666669</v>
      </c>
      <c r="N174" s="202">
        <v>8.3333333333333329E-2</v>
      </c>
      <c r="O174" s="218" t="e">
        <v>#REF!</v>
      </c>
      <c r="P174" s="213" t="e">
        <v>#REF!</v>
      </c>
      <c r="Q174" s="218"/>
      <c r="R174" s="215"/>
      <c r="S174" s="215"/>
      <c r="T174" s="206">
        <f>VLOOKUP(Table2[[#This Row],[Course Title]],Data!$A$1:$E$56,4,FALSE)</f>
        <v>30</v>
      </c>
      <c r="U174" s="206">
        <f>VLOOKUP(Table2[[#This Row],[Course Title]],Data!$A$1:$E$56,5,FALSE)</f>
        <v>4</v>
      </c>
      <c r="V174" s="206">
        <v>26</v>
      </c>
      <c r="W174" s="207">
        <v>0</v>
      </c>
      <c r="X174" s="206">
        <v>7</v>
      </c>
      <c r="Y174" s="206">
        <v>0</v>
      </c>
      <c r="Z174" s="206">
        <v>0</v>
      </c>
      <c r="AA174" s="208">
        <f ca="1">Table2[[#This Row],[End Date]]+2-TODAY()</f>
        <v>-25</v>
      </c>
      <c r="AB174" s="206">
        <f>IF(ISBLANK(#REF!),1,0)</f>
        <v>0</v>
      </c>
      <c r="AC174" s="206">
        <f ca="1">IF(Table2[[#This Row],[Start Date]]&gt;TODAY(),1,)</f>
        <v>0</v>
      </c>
    </row>
    <row r="175" spans="1:29" s="197" customFormat="1">
      <c r="B175" s="198" t="s">
        <v>17</v>
      </c>
      <c r="C175" s="199" t="str">
        <f>VLOOKUP(Table2[[#This Row],[Course Title]],Data!$A$1:$E$56,2,FALSE)</f>
        <v>A-493-0012</v>
      </c>
      <c r="D175" s="199">
        <f>VLOOKUP(Table2[[#This Row],[Course Title]],Data!$A$1:$E$56,3,FALSE)</f>
        <v>3682</v>
      </c>
      <c r="E175" s="198" t="s">
        <v>144</v>
      </c>
      <c r="F175" s="201">
        <v>45369</v>
      </c>
      <c r="G175" s="201">
        <v>45373</v>
      </c>
      <c r="H175" s="203">
        <v>0.33333333333333331</v>
      </c>
      <c r="I175" s="203"/>
      <c r="J175" s="201"/>
      <c r="K175" s="201"/>
      <c r="L175" s="201"/>
      <c r="M175" s="201"/>
      <c r="N175" s="201"/>
      <c r="O175" s="207" t="e">
        <v>#REF!</v>
      </c>
      <c r="P175" s="204" t="e">
        <v>#REF!</v>
      </c>
      <c r="Q175" s="207"/>
      <c r="T175" s="206">
        <f>VLOOKUP(Table2[[#This Row],[Course Title]],Data!$A$1:$E$56,4,FALSE)</f>
        <v>40</v>
      </c>
      <c r="U175" s="206">
        <f>VLOOKUP(Table2[[#This Row],[Course Title]],Data!$A$1:$E$56,5,FALSE)</f>
        <v>5</v>
      </c>
      <c r="V175" s="206">
        <v>24</v>
      </c>
      <c r="W175" s="207">
        <v>0</v>
      </c>
      <c r="X175" s="206">
        <v>2</v>
      </c>
      <c r="Y175" s="206">
        <v>1</v>
      </c>
      <c r="Z175" s="206">
        <v>0</v>
      </c>
      <c r="AA175" s="208">
        <f ca="1">Table2[[#This Row],[End Date]]+2-TODAY()</f>
        <v>-24</v>
      </c>
      <c r="AB175" s="206">
        <f>IF(ISBLANK(#REF!),1,0)</f>
        <v>0</v>
      </c>
      <c r="AC175" s="206">
        <f ca="1">IF(Table2[[#This Row],[Start Date]]&gt;TODAY(),1,)</f>
        <v>0</v>
      </c>
    </row>
    <row r="176" spans="1:29" s="197" customFormat="1">
      <c r="B176" s="198" t="s">
        <v>284</v>
      </c>
      <c r="C176" s="199" t="str">
        <f>VLOOKUP(Table2[[#This Row],[Course Title]],Data!$A$1:$E$56,2,FALSE)</f>
        <v>A-493-0073</v>
      </c>
      <c r="D176" s="199" t="str">
        <f>VLOOKUP(Table2[[#This Row],[Course Title]],Data!$A$1:$E$56,3,FALSE)</f>
        <v>714S</v>
      </c>
      <c r="E176" s="198" t="s">
        <v>116</v>
      </c>
      <c r="F176" s="201">
        <v>45370</v>
      </c>
      <c r="G176" s="201">
        <v>45373</v>
      </c>
      <c r="H176" s="201"/>
      <c r="I176" s="202">
        <v>0.33333333333333331</v>
      </c>
      <c r="J176" s="202">
        <v>0.20833333333333334</v>
      </c>
      <c r="K176" s="202">
        <v>0.625</v>
      </c>
      <c r="L176" s="202">
        <v>0.54166666666666663</v>
      </c>
      <c r="M176" s="202">
        <v>8.3333333333333329E-2</v>
      </c>
      <c r="N176" s="202">
        <v>0.875</v>
      </c>
      <c r="O176" s="207" t="e">
        <v>#REF!</v>
      </c>
      <c r="P176" s="207" t="e">
        <v>#REF!</v>
      </c>
      <c r="Q176" s="205"/>
      <c r="T176" s="206">
        <f>VLOOKUP(Table2[[#This Row],[Course Title]],Data!$A$1:$E$56,4,FALSE)</f>
        <v>30</v>
      </c>
      <c r="U176" s="206">
        <f>VLOOKUP(Table2[[#This Row],[Course Title]],Data!$A$1:$E$56,5,FALSE)</f>
        <v>4</v>
      </c>
      <c r="V176" s="206">
        <v>19</v>
      </c>
      <c r="W176" s="207">
        <v>0</v>
      </c>
      <c r="X176" s="206">
        <v>7</v>
      </c>
      <c r="Y176" s="206">
        <v>0</v>
      </c>
      <c r="Z176" s="199">
        <v>1</v>
      </c>
      <c r="AA176" s="208">
        <f ca="1">Table2[[#This Row],[End Date]]+2-TODAY()</f>
        <v>-24</v>
      </c>
      <c r="AB176" s="206">
        <f>IF(ISBLANK(#REF!),1,0)</f>
        <v>0</v>
      </c>
      <c r="AC176" s="206">
        <f ca="1">IF(Table2[[#This Row],[Start Date]]&gt;TODAY(),1,)</f>
        <v>0</v>
      </c>
    </row>
    <row r="177" spans="1:29" s="197" customFormat="1">
      <c r="B177" s="198" t="s">
        <v>27</v>
      </c>
      <c r="C177" s="199" t="str">
        <f>VLOOKUP(Table2[[#This Row],[Course Title]],Data!$A$1:$E$56,2,FALSE)</f>
        <v>A-493-0216</v>
      </c>
      <c r="D177" s="199" t="str">
        <f>VLOOKUP(Table2[[#This Row],[Course Title]],Data!$A$1:$E$56,3,FALSE)</f>
        <v>12X8</v>
      </c>
      <c r="E177" s="198" t="s">
        <v>116</v>
      </c>
      <c r="F177" s="223">
        <v>45371</v>
      </c>
      <c r="G177" s="223">
        <v>45371</v>
      </c>
      <c r="H177" s="203"/>
      <c r="I177" s="202">
        <v>0.33333333333333331</v>
      </c>
      <c r="J177" s="202">
        <v>0.20833333333333334</v>
      </c>
      <c r="K177" s="202">
        <v>0.625</v>
      </c>
      <c r="L177" s="202">
        <v>0.54166666666666663</v>
      </c>
      <c r="M177" s="202">
        <v>8.3333333333333329E-2</v>
      </c>
      <c r="N177" s="202">
        <v>0.875</v>
      </c>
      <c r="O177" s="218"/>
      <c r="P177" s="213"/>
      <c r="Q177" s="218"/>
      <c r="R177" s="215"/>
      <c r="S177" s="215"/>
      <c r="T177" s="207">
        <v>30</v>
      </c>
      <c r="U177" s="204">
        <v>1</v>
      </c>
      <c r="V177" s="207">
        <v>33</v>
      </c>
      <c r="W177" s="207">
        <v>0</v>
      </c>
      <c r="X177" s="206">
        <v>5</v>
      </c>
      <c r="Y177" s="206">
        <v>9</v>
      </c>
      <c r="Z177" s="199">
        <v>5</v>
      </c>
      <c r="AA177" s="208">
        <f ca="1">Table2[[#This Row],[End Date]]+2-TODAY()</f>
        <v>-26</v>
      </c>
      <c r="AB177" s="206">
        <f>IF(ISBLANK(#REF!),1,0)</f>
        <v>0</v>
      </c>
      <c r="AC177" s="206">
        <f ca="1">IF(Table2[[#This Row],[Start Date]]&gt;TODAY(),1,)</f>
        <v>0</v>
      </c>
    </row>
    <row r="178" spans="1:29" s="197" customFormat="1">
      <c r="A178" s="215" t="s">
        <v>483</v>
      </c>
      <c r="B178" s="224" t="s">
        <v>24</v>
      </c>
      <c r="C178" s="225" t="str">
        <f>VLOOKUP(Table2[[#This Row],[Course Title]],Data!$A$1:$E$56,2,FALSE)</f>
        <v>A-493-0083</v>
      </c>
      <c r="D178" s="225" t="str">
        <f>VLOOKUP(Table2[[#This Row],[Course Title]],Data!$A$1:$E$56,3,FALSE)</f>
        <v>339E</v>
      </c>
      <c r="E178" s="240" t="s">
        <v>116</v>
      </c>
      <c r="F178" s="243">
        <v>45372</v>
      </c>
      <c r="G178" s="243">
        <v>45372</v>
      </c>
      <c r="H178" s="244"/>
      <c r="I178" s="244">
        <v>300.125</v>
      </c>
      <c r="J178" s="244">
        <v>0.95833333333333337</v>
      </c>
      <c r="K178" s="244">
        <v>0.375</v>
      </c>
      <c r="L178" s="244">
        <v>0.33333333333333331</v>
      </c>
      <c r="M178" s="244">
        <v>0.83333333333333337</v>
      </c>
      <c r="N178" s="244">
        <v>0.625</v>
      </c>
      <c r="O178" s="218" t="e">
        <v>#REF!</v>
      </c>
      <c r="P178" s="213" t="e">
        <v>#REF!</v>
      </c>
      <c r="Q178" s="218"/>
      <c r="R178" s="215"/>
      <c r="S178" s="215"/>
      <c r="T178" s="228">
        <f>VLOOKUP(Table2[[#This Row],[Course Title]],Data!$A$1:$E$56,4,FALSE)</f>
        <v>30</v>
      </c>
      <c r="U178" s="228">
        <f>VLOOKUP(Table2[[#This Row],[Course Title]],Data!$A$1:$E$56,5,FALSE)</f>
        <v>1</v>
      </c>
      <c r="V178" s="228"/>
      <c r="W178" s="218"/>
      <c r="X178" s="228"/>
      <c r="Y178" s="228"/>
      <c r="Z178" s="228"/>
      <c r="AA178" s="229">
        <f ca="1">Table2[[#This Row],[End Date]]+2-TODAY()</f>
        <v>-25</v>
      </c>
      <c r="AB178" s="228">
        <f>IF(ISBLANK(#REF!),1,0)</f>
        <v>0</v>
      </c>
      <c r="AC178" s="228">
        <f ca="1">IF(Table2[[#This Row],[Start Date]]&gt;TODAY(),1,)</f>
        <v>0</v>
      </c>
    </row>
    <row r="179" spans="1:29" s="197" customFormat="1">
      <c r="B179" s="198" t="s">
        <v>236</v>
      </c>
      <c r="C179" s="199" t="str">
        <f>VLOOKUP(Table2[[#This Row],[Course Title]],Data!$A$1:$E$56,2,FALSE)</f>
        <v>A-493-0103</v>
      </c>
      <c r="D179" s="199" t="str">
        <f>VLOOKUP(Table2[[#This Row],[Course Title]],Data!$A$1:$E$56,3,FALSE)</f>
        <v>12JY</v>
      </c>
      <c r="E179" s="197" t="s">
        <v>131</v>
      </c>
      <c r="F179" s="223">
        <v>45376</v>
      </c>
      <c r="G179" s="223">
        <v>45380</v>
      </c>
      <c r="H179" s="203">
        <v>0.33333333333333331</v>
      </c>
      <c r="I179" s="203"/>
      <c r="J179" s="201"/>
      <c r="K179" s="201"/>
      <c r="L179" s="201"/>
      <c r="M179" s="201"/>
      <c r="N179" s="201"/>
      <c r="O179" s="213" t="e">
        <v>#REF!</v>
      </c>
      <c r="P179" s="213" t="e">
        <v>#REF!</v>
      </c>
      <c r="Q179" s="214"/>
      <c r="R179" s="215"/>
      <c r="S179" s="215"/>
      <c r="T179" s="206">
        <f>VLOOKUP(Table2[[#This Row],[Course Title]],Data!$A$1:$E$56,4,FALSE)</f>
        <v>25</v>
      </c>
      <c r="U179" s="206">
        <f>VLOOKUP(Table2[[#This Row],[Course Title]],Data!$A$1:$E$56,5,FALSE)</f>
        <v>5</v>
      </c>
      <c r="V179" s="206">
        <v>10</v>
      </c>
      <c r="W179" s="207">
        <v>0</v>
      </c>
      <c r="X179" s="206">
        <v>8</v>
      </c>
      <c r="Y179" s="206">
        <v>0</v>
      </c>
      <c r="Z179" s="206">
        <v>0</v>
      </c>
      <c r="AA179" s="208">
        <f ca="1">Table2[[#This Row],[End Date]]+2-TODAY()</f>
        <v>-17</v>
      </c>
      <c r="AB179" s="206">
        <f>IF(ISBLANK(#REF!),1,0)</f>
        <v>0</v>
      </c>
      <c r="AC179" s="206">
        <f ca="1">IF(Table2[[#This Row],[Start Date]]&gt;TODAY(),1,)</f>
        <v>0</v>
      </c>
    </row>
    <row r="180" spans="1:29" s="197" customFormat="1">
      <c r="B180" s="198" t="s">
        <v>242</v>
      </c>
      <c r="C180" s="199" t="str">
        <f>VLOOKUP(Table2[[#This Row],[Course Title]],Data!$A$1:$E$56,2,FALSE)</f>
        <v>A-493-0061</v>
      </c>
      <c r="D180" s="199" t="str">
        <f>VLOOKUP(Table2[[#This Row],[Course Title]],Data!$A$1:$E$56,3,FALSE)</f>
        <v>288E</v>
      </c>
      <c r="E180" s="198" t="s">
        <v>116</v>
      </c>
      <c r="F180" s="223">
        <v>45376</v>
      </c>
      <c r="G180" s="223">
        <v>45380</v>
      </c>
      <c r="H180" s="201"/>
      <c r="I180" s="202">
        <v>0.54166666666666663</v>
      </c>
      <c r="J180" s="202">
        <v>0.41666666666666669</v>
      </c>
      <c r="K180" s="202">
        <v>0.83333333333333337</v>
      </c>
      <c r="L180" s="202">
        <v>0.75</v>
      </c>
      <c r="M180" s="202">
        <v>0.29166666666666669</v>
      </c>
      <c r="N180" s="202">
        <v>8.3333333333333329E-2</v>
      </c>
      <c r="O180" s="204" t="e">
        <v>#REF!</v>
      </c>
      <c r="P180" s="204" t="e">
        <v>#REF!</v>
      </c>
      <c r="Q180" s="205"/>
      <c r="T180" s="206">
        <f>VLOOKUP(Table2[[#This Row],[Course Title]],Data!$A$1:$E$56,4,FALSE)</f>
        <v>45</v>
      </c>
      <c r="U180" s="206">
        <f>VLOOKUP(Table2[[#This Row],[Course Title]],Data!$A$1:$E$56,5,FALSE)</f>
        <v>5</v>
      </c>
      <c r="V180" s="206">
        <v>20</v>
      </c>
      <c r="W180" s="207">
        <v>0</v>
      </c>
      <c r="X180" s="206">
        <v>1</v>
      </c>
      <c r="Y180" s="206">
        <v>1</v>
      </c>
      <c r="Z180" s="206">
        <v>0</v>
      </c>
      <c r="AA180" s="208">
        <f ca="1">Table2[[#This Row],[End Date]]+2-TODAY()</f>
        <v>-17</v>
      </c>
      <c r="AB180" s="206">
        <f>IF(ISBLANK(#REF!),1,0)</f>
        <v>0</v>
      </c>
      <c r="AC180" s="206">
        <f ca="1">IF(Table2[[#This Row],[Start Date]]&gt;TODAY(),1,)</f>
        <v>0</v>
      </c>
    </row>
    <row r="181" spans="1:29" s="197" customFormat="1">
      <c r="B181" s="198" t="s">
        <v>248</v>
      </c>
      <c r="C181" s="199" t="str">
        <f>VLOOKUP(Table2[[#This Row],[Course Title]],Data!$A$1:$E$56,2,FALSE)</f>
        <v>A-322-2604</v>
      </c>
      <c r="D181" s="199" t="str">
        <f>VLOOKUP(Table2[[#This Row],[Course Title]],Data!$A$1:$E$56,3,FALSE)</f>
        <v>10ZZ</v>
      </c>
      <c r="E181" s="198" t="s">
        <v>116</v>
      </c>
      <c r="F181" s="201">
        <v>45376</v>
      </c>
      <c r="G181" s="201">
        <v>45380</v>
      </c>
      <c r="H181" s="201"/>
      <c r="I181" s="202">
        <v>0.33333333333333331</v>
      </c>
      <c r="J181" s="202">
        <v>0.20833333333333334</v>
      </c>
      <c r="K181" s="202">
        <v>0.625</v>
      </c>
      <c r="L181" s="202">
        <v>0.54166666666666663</v>
      </c>
      <c r="M181" s="202">
        <v>8.3333333333333329E-2</v>
      </c>
      <c r="N181" s="202">
        <v>0.875</v>
      </c>
      <c r="O181" s="218" t="e">
        <v>#REF!</v>
      </c>
      <c r="P181" s="213" t="e">
        <v>#REF!</v>
      </c>
      <c r="Q181" s="218"/>
      <c r="R181" s="215"/>
      <c r="S181" s="215"/>
      <c r="T181" s="206">
        <f>VLOOKUP(Table2[[#This Row],[Course Title]],Data!$A$1:$E$56,4,FALSE)</f>
        <v>45</v>
      </c>
      <c r="U181" s="206">
        <f>VLOOKUP(Table2[[#This Row],[Course Title]],Data!$A$1:$E$56,5,FALSE)</f>
        <v>5</v>
      </c>
      <c r="V181" s="206">
        <v>42</v>
      </c>
      <c r="W181" s="207">
        <v>2</v>
      </c>
      <c r="X181" s="206">
        <v>6</v>
      </c>
      <c r="Y181" s="206">
        <v>2</v>
      </c>
      <c r="Z181" s="206">
        <v>0</v>
      </c>
      <c r="AA181" s="208">
        <f ca="1">Table2[[#This Row],[End Date]]+2-TODAY()</f>
        <v>-17</v>
      </c>
      <c r="AB181" s="206">
        <f>IF(ISBLANK(#REF!),1,0)</f>
        <v>0</v>
      </c>
      <c r="AC181" s="206">
        <f ca="1">IF(Table2[[#This Row],[Start Date]]&gt;TODAY(),1,)</f>
        <v>0</v>
      </c>
    </row>
    <row r="182" spans="1:29" s="197" customFormat="1">
      <c r="B182" s="198" t="s">
        <v>270</v>
      </c>
      <c r="C182" s="199" t="str">
        <f>VLOOKUP(Table2[[#This Row],[Course Title]],Data!$A$1:$E$56,2,FALSE)</f>
        <v>A-493-0335</v>
      </c>
      <c r="D182" s="199" t="str">
        <f>VLOOKUP(Table2[[#This Row],[Course Title]],Data!$A$1:$E$56,3,FALSE)</f>
        <v>09ND</v>
      </c>
      <c r="E182" s="198" t="s">
        <v>116</v>
      </c>
      <c r="F182" s="223">
        <v>45376</v>
      </c>
      <c r="G182" s="223">
        <v>45379</v>
      </c>
      <c r="H182" s="201"/>
      <c r="I182" s="202">
        <v>0.79166666666666663</v>
      </c>
      <c r="J182" s="202">
        <v>0.66666666666666663</v>
      </c>
      <c r="K182" s="202">
        <v>0.125</v>
      </c>
      <c r="L182" s="202">
        <v>4.1666666666666664E-2</v>
      </c>
      <c r="M182" s="202">
        <v>0.58333333333333337</v>
      </c>
      <c r="N182" s="202">
        <v>0.375</v>
      </c>
      <c r="O182" s="213" t="e">
        <v>#REF!</v>
      </c>
      <c r="P182" s="213" t="e">
        <v>#REF!</v>
      </c>
      <c r="Q182" s="213"/>
      <c r="R182" s="215"/>
      <c r="S182" s="215"/>
      <c r="T182" s="206">
        <f>VLOOKUP(Table2[[#This Row],[Course Title]],Data!$A$1:$E$56,4,FALSE)</f>
        <v>30</v>
      </c>
      <c r="U182" s="206">
        <f>VLOOKUP(Table2[[#This Row],[Course Title]],Data!$A$1:$E$56,5,FALSE)</f>
        <v>4</v>
      </c>
      <c r="V182" s="206">
        <v>26</v>
      </c>
      <c r="W182" s="207">
        <v>0</v>
      </c>
      <c r="X182" s="206">
        <v>4</v>
      </c>
      <c r="Y182" s="206">
        <v>0</v>
      </c>
      <c r="Z182" s="206">
        <v>0</v>
      </c>
      <c r="AA182" s="208">
        <f ca="1">Table2[[#This Row],[End Date]]+2-TODAY()</f>
        <v>-18</v>
      </c>
      <c r="AB182" s="206">
        <f>IF(ISBLANK(#REF!),1,0)</f>
        <v>0</v>
      </c>
      <c r="AC182" s="206">
        <f ca="1">IF(Table2[[#This Row],[Start Date]]&gt;TODAY(),1,)</f>
        <v>0</v>
      </c>
    </row>
    <row r="183" spans="1:29" s="197" customFormat="1">
      <c r="B183" s="198" t="s">
        <v>276</v>
      </c>
      <c r="C183" s="199" t="str">
        <f>VLOOKUP(Table2[[#This Row],[Course Title]],Data!$A$1:$E$56,2,FALSE)</f>
        <v>A-493-0550</v>
      </c>
      <c r="D183" s="199" t="str">
        <f>VLOOKUP(Table2[[#This Row],[Course Title]],Data!$A$1:$E$56,3,FALSE)</f>
        <v>09K5</v>
      </c>
      <c r="E183" s="198" t="s">
        <v>116</v>
      </c>
      <c r="F183" s="223">
        <v>45376</v>
      </c>
      <c r="G183" s="223">
        <v>45380</v>
      </c>
      <c r="H183" s="201"/>
      <c r="I183" s="202">
        <v>0.41666666666666669</v>
      </c>
      <c r="J183" s="202">
        <v>0.29166666666666669</v>
      </c>
      <c r="K183" s="202">
        <v>0.70833333333333337</v>
      </c>
      <c r="L183" s="202">
        <v>0.625</v>
      </c>
      <c r="M183" s="202">
        <v>0.16666666666666666</v>
      </c>
      <c r="N183" s="202">
        <v>0.95833333333333337</v>
      </c>
      <c r="O183" s="213" t="e">
        <v>#REF!</v>
      </c>
      <c r="P183" s="213" t="e">
        <v>#REF!</v>
      </c>
      <c r="Q183" s="214"/>
      <c r="R183" s="215"/>
      <c r="S183" s="215"/>
      <c r="T183" s="206">
        <f>VLOOKUP(Table2[[#This Row],[Course Title]],Data!$A$1:$E$56,4,FALSE)</f>
        <v>45</v>
      </c>
      <c r="U183" s="206">
        <f>VLOOKUP(Table2[[#This Row],[Course Title]],Data!$A$1:$E$56,5,FALSE)</f>
        <v>4</v>
      </c>
      <c r="V183" s="206">
        <v>40</v>
      </c>
      <c r="W183" s="207">
        <v>0</v>
      </c>
      <c r="X183" s="206">
        <v>7</v>
      </c>
      <c r="Y183" s="206">
        <v>3</v>
      </c>
      <c r="Z183" s="206">
        <v>0</v>
      </c>
      <c r="AA183" s="208">
        <f ca="1">Table2[[#This Row],[End Date]]+2-TODAY()</f>
        <v>-17</v>
      </c>
      <c r="AB183" s="206">
        <f>IF(ISBLANK(#REF!),1,0)</f>
        <v>0</v>
      </c>
      <c r="AC183" s="206">
        <f ca="1">IF(Table2[[#This Row],[Start Date]]&gt;TODAY(),1,)</f>
        <v>0</v>
      </c>
    </row>
    <row r="184" spans="1:29" s="197" customFormat="1">
      <c r="B184" s="198" t="s">
        <v>287</v>
      </c>
      <c r="C184" s="199" t="str">
        <f>VLOOKUP(Table2[[#This Row],[Course Title]],Data!$A$1:$E$56,2,FALSE)</f>
        <v>A-493-0078</v>
      </c>
      <c r="D184" s="199">
        <f>VLOOKUP(Table2[[#This Row],[Course Title]],Data!$A$1:$E$56,3,FALSE)</f>
        <v>1228</v>
      </c>
      <c r="E184" s="198" t="s">
        <v>116</v>
      </c>
      <c r="F184" s="223">
        <v>45376</v>
      </c>
      <c r="G184" s="223">
        <v>45380</v>
      </c>
      <c r="H184" s="201"/>
      <c r="I184" s="202">
        <v>0.33333333333333331</v>
      </c>
      <c r="J184" s="202">
        <v>0.20833333333333334</v>
      </c>
      <c r="K184" s="202">
        <v>0.625</v>
      </c>
      <c r="L184" s="202">
        <v>0.54166666666666663</v>
      </c>
      <c r="M184" s="202">
        <v>8.3333333333333329E-2</v>
      </c>
      <c r="N184" s="202">
        <v>0.875</v>
      </c>
      <c r="O184" s="204" t="e">
        <v>#REF!</v>
      </c>
      <c r="P184" s="204" t="e">
        <v>#REF!</v>
      </c>
      <c r="Q184" s="205"/>
      <c r="T184" s="206">
        <f>VLOOKUP(Table2[[#This Row],[Course Title]],Data!$A$1:$E$56,4,FALSE)</f>
        <v>45</v>
      </c>
      <c r="U184" s="206">
        <f>VLOOKUP(Table2[[#This Row],[Course Title]],Data!$A$1:$E$56,5,FALSE)</f>
        <v>5</v>
      </c>
      <c r="V184" s="206">
        <v>22</v>
      </c>
      <c r="W184" s="207">
        <v>0</v>
      </c>
      <c r="X184" s="206">
        <v>1</v>
      </c>
      <c r="Y184" s="206">
        <v>0</v>
      </c>
      <c r="Z184" s="206">
        <v>0</v>
      </c>
      <c r="AA184" s="208">
        <f ca="1">Table2[[#This Row],[End Date]]+2-TODAY()</f>
        <v>-17</v>
      </c>
      <c r="AB184" s="206">
        <f>IF(ISBLANK(#REF!),1,0)</f>
        <v>0</v>
      </c>
      <c r="AC184" s="206">
        <f ca="1">IF(Table2[[#This Row],[Start Date]]&gt;TODAY(),1,)</f>
        <v>0</v>
      </c>
    </row>
    <row r="185" spans="1:29" s="197" customFormat="1">
      <c r="B185" s="198" t="s">
        <v>34</v>
      </c>
      <c r="C185" s="199" t="str">
        <f>VLOOKUP(Table2[[#This Row],[Course Title]],Data!$A$1:$E$56,2,FALSE)</f>
        <v>A-493-0085</v>
      </c>
      <c r="D185" s="199">
        <f>VLOOKUP(Table2[[#This Row],[Course Title]],Data!$A$1:$E$56,3,FALSE)</f>
        <v>3555</v>
      </c>
      <c r="E185" s="198" t="s">
        <v>116</v>
      </c>
      <c r="F185" s="223">
        <v>45376</v>
      </c>
      <c r="G185" s="223">
        <v>45379</v>
      </c>
      <c r="H185" s="201"/>
      <c r="I185" s="202">
        <v>0.5</v>
      </c>
      <c r="J185" s="202">
        <v>0.375</v>
      </c>
      <c r="K185" s="202">
        <v>0.79166666666666663</v>
      </c>
      <c r="L185" s="202">
        <v>0.70833333333333337</v>
      </c>
      <c r="M185" s="202">
        <v>0.25</v>
      </c>
      <c r="N185" s="202">
        <v>4.1666666666666664E-2</v>
      </c>
      <c r="O185" s="213" t="e">
        <v>#REF!</v>
      </c>
      <c r="P185" s="213" t="e">
        <v>#REF!</v>
      </c>
      <c r="Q185" s="214"/>
      <c r="R185" s="215"/>
      <c r="S185" s="215"/>
      <c r="T185" s="206">
        <f>VLOOKUP(Table2[[#This Row],[Course Title]],Data!$A$1:$E$56,4,FALSE)</f>
        <v>30</v>
      </c>
      <c r="U185" s="206">
        <f>VLOOKUP(Table2[[#This Row],[Course Title]],Data!$A$1:$E$56,5,FALSE)</f>
        <v>4</v>
      </c>
      <c r="V185" s="206">
        <v>24</v>
      </c>
      <c r="W185" s="207">
        <v>0</v>
      </c>
      <c r="X185" s="206">
        <v>3</v>
      </c>
      <c r="Y185" s="206">
        <v>0</v>
      </c>
      <c r="Z185" s="199">
        <v>0</v>
      </c>
      <c r="AA185" s="208">
        <f ca="1">Table2[[#This Row],[End Date]]+2-TODAY()</f>
        <v>-18</v>
      </c>
      <c r="AB185" s="206">
        <f>IF(ISBLANK(#REF!),1,0)</f>
        <v>0</v>
      </c>
      <c r="AC185" s="206">
        <f ca="1">IF(Table2[[#This Row],[Start Date]]&gt;TODAY(),1,)</f>
        <v>0</v>
      </c>
    </row>
    <row r="186" spans="1:29" s="197" customFormat="1">
      <c r="B186" s="198" t="s">
        <v>312</v>
      </c>
      <c r="C186" s="199" t="str">
        <f>VLOOKUP(Table2[[#This Row],[Course Title]],Data!$A$1:$E$56,2,FALSE)</f>
        <v>A-493-2098</v>
      </c>
      <c r="D186" s="199" t="str">
        <f>VLOOKUP(Table2[[#This Row],[Course Title]],Data!$A$1:$E$56,3,FALSE)</f>
        <v>09WW</v>
      </c>
      <c r="E186" s="198" t="s">
        <v>116</v>
      </c>
      <c r="F186" s="223">
        <v>45376</v>
      </c>
      <c r="G186" s="223">
        <v>45380</v>
      </c>
      <c r="H186" s="201"/>
      <c r="I186" s="202">
        <v>0.54166666666666663</v>
      </c>
      <c r="J186" s="202">
        <v>0.41666666666666669</v>
      </c>
      <c r="K186" s="202">
        <v>0.83333333333333337</v>
      </c>
      <c r="L186" s="202">
        <v>0.75</v>
      </c>
      <c r="M186" s="202">
        <v>0.29166666666666669</v>
      </c>
      <c r="N186" s="202">
        <v>8.3333333333333329E-2</v>
      </c>
      <c r="O186" s="218" t="e">
        <v>#REF!</v>
      </c>
      <c r="P186" s="213" t="e">
        <v>#REF!</v>
      </c>
      <c r="Q186" s="218"/>
      <c r="R186" s="215"/>
      <c r="S186" s="215"/>
      <c r="T186" s="206">
        <f>VLOOKUP(Table2[[#This Row],[Course Title]],Data!$A$1:$E$56,4,FALSE)</f>
        <v>100</v>
      </c>
      <c r="U186" s="206">
        <f>VLOOKUP(Table2[[#This Row],[Course Title]],Data!$A$1:$E$56,5,FALSE)</f>
        <v>5</v>
      </c>
      <c r="V186" s="206">
        <v>92</v>
      </c>
      <c r="W186" s="207">
        <v>4</v>
      </c>
      <c r="X186" s="206">
        <v>10</v>
      </c>
      <c r="Y186" s="206">
        <v>1</v>
      </c>
      <c r="Z186" s="206">
        <v>0</v>
      </c>
      <c r="AA186" s="208">
        <f ca="1">Table2[[#This Row],[End Date]]+2-TODAY()</f>
        <v>-17</v>
      </c>
      <c r="AB186" s="206">
        <f>IF(ISBLANK(#REF!),1,0)</f>
        <v>0</v>
      </c>
      <c r="AC186" s="206">
        <f ca="1">IF(Table2[[#This Row],[Start Date]]&gt;TODAY(),1,)</f>
        <v>0</v>
      </c>
    </row>
    <row r="187" spans="1:29" s="197" customFormat="1">
      <c r="B187" s="198" t="s">
        <v>19</v>
      </c>
      <c r="C187" s="199" t="str">
        <f>VLOOKUP(Table2[[#This Row],[Course Title]],Data!$A$1:$E$56,2,FALSE)</f>
        <v>A-493-0099</v>
      </c>
      <c r="D187" s="199" t="str">
        <f>VLOOKUP(Table2[[#This Row],[Course Title]],Data!$A$1:$E$56,3,FALSE)</f>
        <v>12JW</v>
      </c>
      <c r="E187" s="198" t="s">
        <v>116</v>
      </c>
      <c r="F187" s="223">
        <v>45377</v>
      </c>
      <c r="G187" s="223">
        <v>45379</v>
      </c>
      <c r="H187" s="201"/>
      <c r="I187" s="202">
        <v>0.54166666666666663</v>
      </c>
      <c r="J187" s="202">
        <v>0.41666666666666669</v>
      </c>
      <c r="K187" s="202">
        <v>0.83333333333333337</v>
      </c>
      <c r="L187" s="202">
        <v>0.75</v>
      </c>
      <c r="M187" s="202">
        <v>0.29166666666666669</v>
      </c>
      <c r="N187" s="202">
        <v>8.3333333333333329E-2</v>
      </c>
      <c r="O187" s="213" t="e">
        <v>#REF!</v>
      </c>
      <c r="P187" s="213" t="e">
        <v>#REF!</v>
      </c>
      <c r="Q187" s="214"/>
      <c r="R187" s="215"/>
      <c r="S187" s="215"/>
      <c r="T187" s="206">
        <f>VLOOKUP(Table2[[#This Row],[Course Title]],Data!$A$1:$E$56,4,FALSE)</f>
        <v>45</v>
      </c>
      <c r="U187" s="206">
        <f>VLOOKUP(Table2[[#This Row],[Course Title]],Data!$A$1:$E$56,5,FALSE)</f>
        <v>3</v>
      </c>
      <c r="V187" s="206">
        <v>40</v>
      </c>
      <c r="W187" s="207">
        <v>1</v>
      </c>
      <c r="X187" s="206">
        <v>2</v>
      </c>
      <c r="Y187" s="206">
        <v>0</v>
      </c>
      <c r="Z187" s="206">
        <v>0</v>
      </c>
      <c r="AA187" s="208">
        <f ca="1">Table2[[#This Row],[End Date]]+2-TODAY()</f>
        <v>-18</v>
      </c>
      <c r="AB187" s="206">
        <f>IF(ISBLANK(#REF!),1,0)</f>
        <v>0</v>
      </c>
      <c r="AC187" s="206">
        <f ca="1">IF(Table2[[#This Row],[Start Date]]&gt;TODAY(),1,)</f>
        <v>0</v>
      </c>
    </row>
    <row r="188" spans="1:29" s="197" customFormat="1">
      <c r="A188" s="197" t="s">
        <v>484</v>
      </c>
      <c r="B188" s="198" t="s">
        <v>18</v>
      </c>
      <c r="C188" s="199" t="str">
        <f>VLOOKUP(Table2[[#This Row],[Course Title]],Data!$A$1:$E$56,2,FALSE)</f>
        <v>A-493-0013</v>
      </c>
      <c r="D188" s="199">
        <f>VLOOKUP(Table2[[#This Row],[Course Title]],Data!$A$1:$E$56,3,FALSE)</f>
        <v>3683</v>
      </c>
      <c r="E188" s="198" t="s">
        <v>156</v>
      </c>
      <c r="F188" s="223">
        <v>45378</v>
      </c>
      <c r="G188" s="223">
        <v>45380</v>
      </c>
      <c r="H188" s="203">
        <v>0.33333333333333331</v>
      </c>
      <c r="I188" s="203"/>
      <c r="J188" s="203"/>
      <c r="K188" s="203"/>
      <c r="L188" s="203"/>
      <c r="M188" s="203"/>
      <c r="N188" s="201"/>
      <c r="O188" s="213" t="e">
        <v>#REF!</v>
      </c>
      <c r="P188" s="213" t="e">
        <v>#REF!</v>
      </c>
      <c r="Q188" s="214"/>
      <c r="R188" s="215"/>
      <c r="S188" s="215"/>
      <c r="T188" s="206">
        <f>VLOOKUP(Table2[[#This Row],[Course Title]],Data!$A$1:$E$56,4,FALSE)</f>
        <v>40</v>
      </c>
      <c r="U188" s="206">
        <v>3</v>
      </c>
      <c r="V188" s="206">
        <v>40</v>
      </c>
      <c r="W188" s="207">
        <v>0</v>
      </c>
      <c r="X188" s="206">
        <v>0</v>
      </c>
      <c r="Y188" s="206">
        <v>17</v>
      </c>
      <c r="Z188" s="206">
        <v>33</v>
      </c>
      <c r="AA188" s="208">
        <f ca="1">Table2[[#This Row],[End Date]]+2-TODAY()</f>
        <v>-17</v>
      </c>
      <c r="AB188" s="206">
        <f>IF(ISBLANK(#REF!),1,0)</f>
        <v>0</v>
      </c>
      <c r="AC188" s="206">
        <f ca="1">IF(Table2[[#This Row],[Start Date]]&gt;TODAY(),1,)</f>
        <v>0</v>
      </c>
    </row>
    <row r="189" spans="1:29" s="197" customFormat="1">
      <c r="A189" s="215"/>
      <c r="B189" s="224" t="s">
        <v>25</v>
      </c>
      <c r="C189" s="225" t="str">
        <f>VLOOKUP(Table2[[#This Row],[Course Title]],Data!$A$1:$E$56,2,FALSE)</f>
        <v>A-493-2300</v>
      </c>
      <c r="D189" s="225" t="str">
        <f>VLOOKUP(Table2[[#This Row],[Course Title]],Data!$A$1:$E$56,3,FALSE)</f>
        <v>993F</v>
      </c>
      <c r="E189" s="224" t="s">
        <v>144</v>
      </c>
      <c r="F189" s="226">
        <v>45383</v>
      </c>
      <c r="G189" s="226">
        <v>45384</v>
      </c>
      <c r="H189" s="227">
        <v>0.33333333333333331</v>
      </c>
      <c r="I189" s="227"/>
      <c r="J189" s="226"/>
      <c r="K189" s="226"/>
      <c r="L189" s="226"/>
      <c r="M189" s="226"/>
      <c r="N189" s="226"/>
      <c r="O189" s="218"/>
      <c r="P189" s="213"/>
      <c r="Q189" s="218"/>
      <c r="R189" s="215"/>
      <c r="S189" s="215"/>
      <c r="T189" s="218">
        <v>30</v>
      </c>
      <c r="U189" s="213">
        <v>2</v>
      </c>
      <c r="V189" s="218"/>
      <c r="W189" s="218"/>
      <c r="X189" s="228"/>
      <c r="Y189" s="228"/>
      <c r="Z189" s="228"/>
      <c r="AA189" s="229">
        <f ca="1">Table2[[#This Row],[End Date]]+2-TODAY()</f>
        <v>-13</v>
      </c>
      <c r="AB189" s="228">
        <f>IF(ISBLANK(#REF!),1,0)</f>
        <v>0</v>
      </c>
      <c r="AC189" s="228">
        <f ca="1">IF(Table2[[#This Row],[Start Date]]&gt;TODAY(),1,)</f>
        <v>0</v>
      </c>
    </row>
    <row r="190" spans="1:29" s="196" customFormat="1" ht="14.25" customHeight="1">
      <c r="A190" s="197" t="s">
        <v>481</v>
      </c>
      <c r="B190" s="198" t="s">
        <v>17</v>
      </c>
      <c r="C190" s="199" t="str">
        <f>VLOOKUP(Table2[[#This Row],[Course Title]],Data!$A$1:$E$56,2,FALSE)</f>
        <v>A-493-0012</v>
      </c>
      <c r="D190" s="199">
        <f>VLOOKUP(Table2[[#This Row],[Course Title]],Data!$A$1:$E$56,3,FALSE)</f>
        <v>3682</v>
      </c>
      <c r="E190" s="198" t="s">
        <v>269</v>
      </c>
      <c r="F190" s="201">
        <v>45383</v>
      </c>
      <c r="G190" s="201">
        <v>45387</v>
      </c>
      <c r="H190" s="203">
        <v>0.33333333333333331</v>
      </c>
      <c r="I190" s="203"/>
      <c r="J190" s="201"/>
      <c r="K190" s="201"/>
      <c r="L190" s="201"/>
      <c r="M190" s="201"/>
      <c r="N190" s="201"/>
      <c r="O190" s="218" t="e">
        <v>#REF!</v>
      </c>
      <c r="P190" s="213" t="e">
        <v>#REF!</v>
      </c>
      <c r="Q190" s="218"/>
      <c r="R190" s="215"/>
      <c r="S190" s="215"/>
      <c r="T190" s="206">
        <f>VLOOKUP(Table2[[#This Row],[Course Title]],Data!$A$1:$E$56,4,FALSE)</f>
        <v>40</v>
      </c>
      <c r="U190" s="206">
        <f>VLOOKUP(Table2[[#This Row],[Course Title]],Data!$A$1:$E$56,5,FALSE)</f>
        <v>5</v>
      </c>
      <c r="V190" s="206">
        <v>13</v>
      </c>
      <c r="W190" s="207">
        <v>0</v>
      </c>
      <c r="X190" s="206">
        <v>0</v>
      </c>
      <c r="Y190" s="206">
        <v>3</v>
      </c>
      <c r="Z190" s="206">
        <v>1</v>
      </c>
      <c r="AA190" s="208">
        <f ca="1">Table2[[#This Row],[End Date]]+2-TODAY()</f>
        <v>-10</v>
      </c>
      <c r="AB190" s="206">
        <f>IF(ISBLANK(#REF!),1,0)</f>
        <v>0</v>
      </c>
      <c r="AC190" s="206">
        <f ca="1">IF(Table2[[#This Row],[Start Date]]&gt;TODAY(),1,)</f>
        <v>0</v>
      </c>
    </row>
    <row r="191" spans="1:29" s="197" customFormat="1" ht="15" customHeight="1">
      <c r="B191" s="198" t="s">
        <v>284</v>
      </c>
      <c r="C191" s="199" t="str">
        <f>VLOOKUP(Table2[[#This Row],[Course Title]],Data!$A$1:$E$56,2,FALSE)</f>
        <v>A-493-0073</v>
      </c>
      <c r="D191" s="199" t="str">
        <f>VLOOKUP(Table2[[#This Row],[Course Title]],Data!$A$1:$E$56,3,FALSE)</f>
        <v>714S</v>
      </c>
      <c r="E191" s="198" t="s">
        <v>116</v>
      </c>
      <c r="F191" s="223">
        <v>45383</v>
      </c>
      <c r="G191" s="223">
        <v>45386</v>
      </c>
      <c r="H191" s="201"/>
      <c r="I191" s="202">
        <v>0.33333333333333331</v>
      </c>
      <c r="J191" s="202">
        <v>0.20833333333333334</v>
      </c>
      <c r="K191" s="202">
        <v>0.66666666666666663</v>
      </c>
      <c r="L191" s="202">
        <v>0.58333333333333337</v>
      </c>
      <c r="M191" s="202">
        <v>0.125</v>
      </c>
      <c r="N191" s="202">
        <v>0.91666666666666663</v>
      </c>
      <c r="O191" s="228" t="e">
        <v>#REF!</v>
      </c>
      <c r="P191" s="228" t="e">
        <v>#REF!</v>
      </c>
      <c r="Q191" s="214"/>
      <c r="R191" s="215"/>
      <c r="S191" s="215"/>
      <c r="T191" s="206">
        <f>VLOOKUP(Table2[[#This Row],[Course Title]],Data!$A$1:$E$56,4,FALSE)</f>
        <v>30</v>
      </c>
      <c r="U191" s="206">
        <f>VLOOKUP(Table2[[#This Row],[Course Title]],Data!$A$1:$E$56,5,FALSE)</f>
        <v>4</v>
      </c>
      <c r="V191" s="206">
        <v>19</v>
      </c>
      <c r="W191" s="207">
        <v>0</v>
      </c>
      <c r="X191" s="206">
        <v>6</v>
      </c>
      <c r="Y191" s="206">
        <v>0</v>
      </c>
      <c r="Z191" s="222">
        <v>0</v>
      </c>
      <c r="AA191" s="208">
        <f ca="1">Table2[[#This Row],[End Date]]+2-TODAY()</f>
        <v>-11</v>
      </c>
      <c r="AB191" s="206">
        <f>IF(ISBLANK(#REF!),1,0)</f>
        <v>0</v>
      </c>
      <c r="AC191" s="206">
        <f ca="1">IF(Table2[[#This Row],[Start Date]]&gt;TODAY(),1,)</f>
        <v>0</v>
      </c>
    </row>
    <row r="192" spans="1:29" s="197" customFormat="1">
      <c r="A192" s="215"/>
      <c r="B192" s="224" t="s">
        <v>215</v>
      </c>
      <c r="C192" s="225" t="str">
        <f>VLOOKUP(Table2[[#This Row],[Course Title]],Data!$A$1:$E$56,2,FALSE)</f>
        <v>A-493-0665</v>
      </c>
      <c r="D192" s="225" t="str">
        <f>VLOOKUP(Table2[[#This Row],[Course Title]],Data!$A$1:$E$56,3,FALSE)</f>
        <v>10KW</v>
      </c>
      <c r="E192" s="224" t="s">
        <v>116</v>
      </c>
      <c r="F192" s="245">
        <v>45383</v>
      </c>
      <c r="G192" s="245">
        <v>45387</v>
      </c>
      <c r="H192" s="226"/>
      <c r="I192" s="244">
        <v>0.79166666666666663</v>
      </c>
      <c r="J192" s="244">
        <v>0.66666666666666663</v>
      </c>
      <c r="K192" s="244">
        <v>8.3333333333333329E-2</v>
      </c>
      <c r="L192" s="244">
        <v>0</v>
      </c>
      <c r="M192" s="244">
        <v>0.54166666666666663</v>
      </c>
      <c r="N192" s="244">
        <v>0.33333333333333331</v>
      </c>
      <c r="O192" s="218" t="e">
        <v>#REF!</v>
      </c>
      <c r="P192" s="213" t="e">
        <v>#REF!</v>
      </c>
      <c r="Q192" s="218"/>
      <c r="R192" s="215"/>
      <c r="S192" s="215"/>
      <c r="T192" s="228">
        <f>VLOOKUP(Table2[[#This Row],[Course Title]],Data!$A$1:$E$56,4,FALSE)</f>
        <v>45</v>
      </c>
      <c r="U192" s="228">
        <f>VLOOKUP(Table2[[#This Row],[Course Title]],Data!$A$1:$E$56,5,FALSE)</f>
        <v>5</v>
      </c>
      <c r="V192" s="228"/>
      <c r="W192" s="218"/>
      <c r="X192" s="228"/>
      <c r="Y192" s="228"/>
      <c r="Z192" s="228"/>
      <c r="AA192" s="229">
        <f ca="1">Table2[[#This Row],[End Date]]+2-TODAY()</f>
        <v>-10</v>
      </c>
      <c r="AB192" s="228">
        <f>IF(ISBLANK(#REF!),1,0)</f>
        <v>0</v>
      </c>
      <c r="AC192" s="228">
        <f ca="1">IF(Table2[[#This Row],[Start Date]]&gt;TODAY(),1,)</f>
        <v>0</v>
      </c>
    </row>
    <row r="193" spans="1:29" s="197" customFormat="1">
      <c r="B193" s="198" t="s">
        <v>236</v>
      </c>
      <c r="C193" s="199" t="str">
        <f>VLOOKUP(Table2[[#This Row],[Course Title]],Data!$A$1:$E$56,2,FALSE)</f>
        <v>A-493-0103</v>
      </c>
      <c r="D193" s="199" t="str">
        <f>VLOOKUP(Table2[[#This Row],[Course Title]],Data!$A$1:$E$56,3,FALSE)</f>
        <v>12JY</v>
      </c>
      <c r="E193" s="198" t="s">
        <v>146</v>
      </c>
      <c r="F193" s="201">
        <v>45383</v>
      </c>
      <c r="G193" s="201">
        <v>45387</v>
      </c>
      <c r="H193" s="203">
        <v>0.33333333333333331</v>
      </c>
      <c r="I193" s="203"/>
      <c r="J193" s="201"/>
      <c r="K193" s="201"/>
      <c r="L193" s="201"/>
      <c r="M193" s="201"/>
      <c r="N193" s="201"/>
      <c r="O193" s="213" t="e">
        <v>#REF!</v>
      </c>
      <c r="P193" s="213" t="e">
        <v>#REF!</v>
      </c>
      <c r="Q193" s="214"/>
      <c r="R193" s="215"/>
      <c r="S193" s="215"/>
      <c r="T193" s="206">
        <f>VLOOKUP(Table2[[#This Row],[Course Title]],Data!$A$1:$E$56,4,FALSE)</f>
        <v>25</v>
      </c>
      <c r="U193" s="206">
        <f>VLOOKUP(Table2[[#This Row],[Course Title]],Data!$A$1:$E$56,5,FALSE)</f>
        <v>5</v>
      </c>
      <c r="V193" s="206">
        <v>21</v>
      </c>
      <c r="W193" s="207">
        <v>0</v>
      </c>
      <c r="X193" s="206">
        <v>2</v>
      </c>
      <c r="Y193" s="206">
        <v>0</v>
      </c>
      <c r="Z193" s="206">
        <v>0</v>
      </c>
      <c r="AA193" s="208">
        <f ca="1">Table2[[#This Row],[End Date]]+2-TODAY()</f>
        <v>-10</v>
      </c>
      <c r="AB193" s="206">
        <f>IF(ISBLANK(#REF!),1,0)</f>
        <v>0</v>
      </c>
      <c r="AC193" s="206">
        <f ca="1">IF(Table2[[#This Row],[Start Date]]&gt;TODAY(),1,)</f>
        <v>0</v>
      </c>
    </row>
    <row r="194" spans="1:29" s="197" customFormat="1">
      <c r="B194" s="198" t="s">
        <v>242</v>
      </c>
      <c r="C194" s="199" t="str">
        <f>VLOOKUP(Table2[[#This Row],[Course Title]],Data!$A$1:$E$56,2,FALSE)</f>
        <v>A-493-0061</v>
      </c>
      <c r="D194" s="199" t="str">
        <f>VLOOKUP(Table2[[#This Row],[Course Title]],Data!$A$1:$E$56,3,FALSE)</f>
        <v>288E</v>
      </c>
      <c r="E194" s="198" t="s">
        <v>116</v>
      </c>
      <c r="F194" s="201">
        <v>45383</v>
      </c>
      <c r="G194" s="201">
        <v>45387</v>
      </c>
      <c r="H194" s="201"/>
      <c r="I194" s="202">
        <v>0.41666666666666669</v>
      </c>
      <c r="J194" s="202">
        <v>0.29166666666666669</v>
      </c>
      <c r="K194" s="202">
        <v>0.70833333333333337</v>
      </c>
      <c r="L194" s="202">
        <v>0.625</v>
      </c>
      <c r="M194" s="202">
        <v>0.16666666666666666</v>
      </c>
      <c r="N194" s="202">
        <v>0.95833333333333337</v>
      </c>
      <c r="O194" s="213" t="e">
        <v>#REF!</v>
      </c>
      <c r="P194" s="213" t="e">
        <v>#REF!</v>
      </c>
      <c r="Q194" s="214"/>
      <c r="R194" s="215"/>
      <c r="S194" s="215"/>
      <c r="T194" s="206">
        <f>VLOOKUP(Table2[[#This Row],[Course Title]],Data!$A$1:$E$56,4,FALSE)</f>
        <v>45</v>
      </c>
      <c r="U194" s="206">
        <f>VLOOKUP(Table2[[#This Row],[Course Title]],Data!$A$1:$E$56,5,FALSE)</f>
        <v>5</v>
      </c>
      <c r="V194" s="206">
        <v>25</v>
      </c>
      <c r="W194" s="207">
        <v>0</v>
      </c>
      <c r="X194" s="206">
        <v>3</v>
      </c>
      <c r="Y194" s="206">
        <v>0</v>
      </c>
      <c r="Z194" s="206">
        <v>1</v>
      </c>
      <c r="AA194" s="208">
        <f ca="1">Table2[[#This Row],[End Date]]+2-TODAY()</f>
        <v>-10</v>
      </c>
      <c r="AB194" s="206">
        <f>IF(ISBLANK(#REF!),1,0)</f>
        <v>0</v>
      </c>
      <c r="AC194" s="206">
        <f ca="1">IF(Table2[[#This Row],[Start Date]]&gt;TODAY(),1,)</f>
        <v>0</v>
      </c>
    </row>
    <row r="195" spans="1:29" s="197" customFormat="1">
      <c r="A195" s="215"/>
      <c r="B195" s="224" t="s">
        <v>299</v>
      </c>
      <c r="C195" s="225" t="str">
        <f>VLOOKUP(Table2[[#This Row],[Course Title]],Data!$A$1:$E$56,2,FALSE)</f>
        <v>A-570-0100</v>
      </c>
      <c r="D195" s="225" t="str">
        <f>VLOOKUP(Table2[[#This Row],[Course Title]],Data!$A$1:$E$56,3,FALSE)</f>
        <v>18B7</v>
      </c>
      <c r="E195" s="224" t="s">
        <v>116</v>
      </c>
      <c r="F195" s="226">
        <v>45383</v>
      </c>
      <c r="G195" s="226">
        <v>45386</v>
      </c>
      <c r="H195" s="226"/>
      <c r="I195" s="244">
        <v>0.54166666666666663</v>
      </c>
      <c r="J195" s="244">
        <v>0.41666666666666669</v>
      </c>
      <c r="K195" s="244">
        <v>0.83333333333333337</v>
      </c>
      <c r="L195" s="244">
        <v>0.75</v>
      </c>
      <c r="M195" s="244">
        <v>0.29166666666666669</v>
      </c>
      <c r="N195" s="244">
        <v>8.3333333333333329E-2</v>
      </c>
      <c r="O195" s="218" t="e">
        <v>#REF!</v>
      </c>
      <c r="P195" s="213" t="e">
        <v>#REF!</v>
      </c>
      <c r="Q195" s="218"/>
      <c r="R195" s="215"/>
      <c r="S195" s="215"/>
      <c r="T195" s="228">
        <f>VLOOKUP(Table2[[#This Row],[Course Title]],Data!$A$1:$E$56,4,FALSE)</f>
        <v>30</v>
      </c>
      <c r="U195" s="228">
        <f>VLOOKUP(Table2[[#This Row],[Course Title]],Data!$A$1:$E$56,5,FALSE)</f>
        <v>4</v>
      </c>
      <c r="V195" s="228"/>
      <c r="W195" s="218"/>
      <c r="X195" s="228"/>
      <c r="Y195" s="228"/>
      <c r="Z195" s="218"/>
      <c r="AA195" s="229">
        <f ca="1">Table2[[#This Row],[End Date]]+2-TODAY()</f>
        <v>-11</v>
      </c>
      <c r="AB195" s="228">
        <f>IF(ISBLANK(#REF!),1,0)</f>
        <v>0</v>
      </c>
      <c r="AC195" s="228">
        <f ca="1">IF(Table2[[#This Row],[Start Date]]&gt;TODAY(),1,)</f>
        <v>0</v>
      </c>
    </row>
    <row r="196" spans="1:29" s="197" customFormat="1">
      <c r="A196" s="232" t="s">
        <v>481</v>
      </c>
      <c r="B196" s="224" t="s">
        <v>38</v>
      </c>
      <c r="C196" s="225" t="str">
        <f>VLOOKUP(Table2[[#This Row],[Course Title]],Data!$A$1:$E$56,2,FALSE)</f>
        <v>A-493-0072</v>
      </c>
      <c r="D196" s="225" t="str">
        <f>VLOOKUP(Table2[[#This Row],[Course Title]],Data!$A$1:$E$56,3,FALSE)</f>
        <v>713U</v>
      </c>
      <c r="E196" s="224" t="s">
        <v>218</v>
      </c>
      <c r="F196" s="226">
        <v>45383</v>
      </c>
      <c r="G196" s="226">
        <v>45386</v>
      </c>
      <c r="H196" s="246">
        <v>0.33333333333333331</v>
      </c>
      <c r="I196" s="246"/>
      <c r="J196" s="226"/>
      <c r="K196" s="226"/>
      <c r="L196" s="226"/>
      <c r="M196" s="226"/>
      <c r="N196" s="226"/>
      <c r="O196" s="213" t="e">
        <v>#REF!</v>
      </c>
      <c r="P196" s="213" t="e">
        <v>#REF!</v>
      </c>
      <c r="Q196" s="213"/>
      <c r="R196" s="215"/>
      <c r="S196" s="215"/>
      <c r="T196" s="228">
        <f>VLOOKUP(Table2[[#This Row],[Course Title]],Data!$A$1:$E$56,4,FALSE)</f>
        <v>30</v>
      </c>
      <c r="U196" s="228">
        <f>VLOOKUP(Table2[[#This Row],[Course Title]],Data!$A$1:$E$56,5,FALSE)</f>
        <v>4</v>
      </c>
      <c r="V196" s="228"/>
      <c r="W196" s="218"/>
      <c r="X196" s="228"/>
      <c r="Y196" s="228"/>
      <c r="Z196" s="228"/>
      <c r="AA196" s="229">
        <f ca="1">Table2[[#This Row],[End Date]]+2-TODAY()</f>
        <v>-11</v>
      </c>
      <c r="AB196" s="228">
        <f>IF(ISBLANK(#REF!),1,0)</f>
        <v>0</v>
      </c>
      <c r="AC196" s="228">
        <f ca="1">IF(Table2[[#This Row],[Start Date]]&gt;TODAY(),1,)</f>
        <v>0</v>
      </c>
    </row>
    <row r="197" spans="1:29" s="197" customFormat="1">
      <c r="A197" s="215"/>
      <c r="B197" s="224" t="s">
        <v>27</v>
      </c>
      <c r="C197" s="225" t="str">
        <f>VLOOKUP(Table2[[#This Row],[Course Title]],Data!$A$1:$E$56,2,FALSE)</f>
        <v>A-493-0216</v>
      </c>
      <c r="D197" s="225" t="str">
        <f>VLOOKUP(Table2[[#This Row],[Course Title]],Data!$A$1:$E$56,3,FALSE)</f>
        <v>12X8</v>
      </c>
      <c r="E197" s="224" t="s">
        <v>144</v>
      </c>
      <c r="F197" s="226">
        <v>45385</v>
      </c>
      <c r="G197" s="226">
        <v>45385</v>
      </c>
      <c r="H197" s="227">
        <v>0.33333333333333331</v>
      </c>
      <c r="I197" s="246"/>
      <c r="J197" s="226"/>
      <c r="K197" s="226"/>
      <c r="L197" s="226"/>
      <c r="M197" s="226"/>
      <c r="N197" s="226"/>
      <c r="O197" s="218"/>
      <c r="P197" s="213"/>
      <c r="Q197" s="218"/>
      <c r="R197" s="215"/>
      <c r="S197" s="215"/>
      <c r="T197" s="218">
        <v>30</v>
      </c>
      <c r="U197" s="213">
        <v>1</v>
      </c>
      <c r="V197" s="218"/>
      <c r="W197" s="218"/>
      <c r="X197" s="228"/>
      <c r="Y197" s="228"/>
      <c r="Z197" s="228"/>
      <c r="AA197" s="229">
        <f ca="1">Table2[[#This Row],[End Date]]+2-TODAY()</f>
        <v>-12</v>
      </c>
      <c r="AB197" s="228">
        <f>IF(ISBLANK(#REF!),1,0)</f>
        <v>0</v>
      </c>
      <c r="AC197" s="228">
        <f ca="1">IF(Table2[[#This Row],[Start Date]]&gt;TODAY(),1,)</f>
        <v>0</v>
      </c>
    </row>
    <row r="198" spans="1:29" s="197" customFormat="1">
      <c r="A198" s="197" t="s">
        <v>485</v>
      </c>
      <c r="B198" s="198" t="s">
        <v>24</v>
      </c>
      <c r="C198" s="199" t="str">
        <f>VLOOKUP(Table2[[#This Row],[Course Title]],Data!$A$1:$E$56,2,FALSE)</f>
        <v>A-493-0083</v>
      </c>
      <c r="D198" s="199" t="str">
        <f>VLOOKUP(Table2[[#This Row],[Course Title]],Data!$A$1:$E$56,3,FALSE)</f>
        <v>339E</v>
      </c>
      <c r="E198" s="247" t="s">
        <v>116</v>
      </c>
      <c r="F198" s="200">
        <v>45386</v>
      </c>
      <c r="G198" s="200">
        <v>45386</v>
      </c>
      <c r="H198" s="202"/>
      <c r="I198" s="202">
        <v>8.3333333333333329E-2</v>
      </c>
      <c r="J198" s="202">
        <v>0.95833333333333337</v>
      </c>
      <c r="K198" s="202">
        <v>0.375</v>
      </c>
      <c r="L198" s="202">
        <v>0.33333333333333331</v>
      </c>
      <c r="M198" s="202">
        <v>0.83333333333333337</v>
      </c>
      <c r="N198" s="202">
        <v>0.625</v>
      </c>
      <c r="O198" s="218" t="e">
        <v>#REF!</v>
      </c>
      <c r="P198" s="213" t="e">
        <v>#REF!</v>
      </c>
      <c r="Q198" s="218"/>
      <c r="R198" s="215"/>
      <c r="S198" s="215"/>
      <c r="T198" s="206">
        <f>VLOOKUP(Table2[[#This Row],[Course Title]],Data!$A$1:$E$56,4,FALSE)</f>
        <v>30</v>
      </c>
      <c r="U198" s="206">
        <f>VLOOKUP(Table2[[#This Row],[Course Title]],Data!$A$1:$E$56,5,FALSE)</f>
        <v>1</v>
      </c>
      <c r="V198" s="206">
        <v>29</v>
      </c>
      <c r="W198" s="207">
        <v>0</v>
      </c>
      <c r="X198" s="206">
        <v>2</v>
      </c>
      <c r="Y198" s="206">
        <v>1</v>
      </c>
      <c r="Z198" s="206">
        <v>2</v>
      </c>
      <c r="AA198" s="208">
        <f ca="1">Table2[[#This Row],[End Date]]+2-TODAY()</f>
        <v>-11</v>
      </c>
      <c r="AB198" s="206">
        <f>IF(ISBLANK(#REF!),1,0)</f>
        <v>0</v>
      </c>
      <c r="AC198" s="206">
        <f ca="1">IF(Table2[[#This Row],[Start Date]]&gt;TODAY(),1,)</f>
        <v>0</v>
      </c>
    </row>
    <row r="199" spans="1:29" s="215" customFormat="1">
      <c r="A199" s="224"/>
      <c r="B199" s="224" t="s">
        <v>236</v>
      </c>
      <c r="C199" s="225" t="str">
        <f>VLOOKUP(Table2[[#This Row],[Course Title]],Data!$A$1:$E$56,2,FALSE)</f>
        <v>A-493-0103</v>
      </c>
      <c r="D199" s="225" t="str">
        <f>VLOOKUP(Table2[[#This Row],[Course Title]],Data!$A$1:$E$56,3,FALSE)</f>
        <v>12JY</v>
      </c>
      <c r="E199" s="224" t="s">
        <v>149</v>
      </c>
      <c r="F199" s="226">
        <v>45390</v>
      </c>
      <c r="G199" s="226">
        <v>45394</v>
      </c>
      <c r="H199" s="227">
        <v>0.33333333333333331</v>
      </c>
      <c r="I199" s="227"/>
      <c r="J199" s="226"/>
      <c r="K199" s="226"/>
      <c r="L199" s="226"/>
      <c r="M199" s="226"/>
      <c r="N199" s="226"/>
      <c r="O199" s="213" t="e">
        <v>#REF!</v>
      </c>
      <c r="P199" s="213" t="e">
        <v>#REF!</v>
      </c>
      <c r="Q199" s="214"/>
      <c r="T199" s="228">
        <f>VLOOKUP(Table2[[#This Row],[Course Title]],Data!$A$1:$E$56,4,FALSE)</f>
        <v>25</v>
      </c>
      <c r="U199" s="228">
        <f>VLOOKUP(Table2[[#This Row],[Course Title]],Data!$A$1:$E$56,5,FALSE)</f>
        <v>5</v>
      </c>
      <c r="V199" s="228"/>
      <c r="W199" s="218"/>
      <c r="X199" s="228"/>
      <c r="Y199" s="228"/>
      <c r="Z199" s="228"/>
      <c r="AA199" s="229">
        <f ca="1">Table2[[#This Row],[End Date]]+2-TODAY()</f>
        <v>-3</v>
      </c>
      <c r="AB199" s="228">
        <f>IF(ISBLANK(#REF!),1,0)</f>
        <v>0</v>
      </c>
      <c r="AC199" s="228">
        <f ca="1">IF(Table2[[#This Row],[Start Date]]&gt;TODAY(),1,)</f>
        <v>0</v>
      </c>
    </row>
    <row r="200" spans="1:29" s="197" customFormat="1">
      <c r="A200" s="225"/>
      <c r="B200" s="224" t="s">
        <v>236</v>
      </c>
      <c r="C200" s="225" t="str">
        <f>VLOOKUP(Table2[[#This Row],[Course Title]],Data!$A$1:$E$56,2,FALSE)</f>
        <v>A-493-0103</v>
      </c>
      <c r="D200" s="225" t="str">
        <f>VLOOKUP(Table2[[#This Row],[Course Title]],Data!$A$1:$E$56,3,FALSE)</f>
        <v>12JY</v>
      </c>
      <c r="E200" s="224" t="s">
        <v>165</v>
      </c>
      <c r="F200" s="226">
        <v>45390</v>
      </c>
      <c r="G200" s="226">
        <v>45394</v>
      </c>
      <c r="H200" s="227">
        <v>0.33333333333333331</v>
      </c>
      <c r="I200" s="227"/>
      <c r="J200" s="226"/>
      <c r="K200" s="226"/>
      <c r="L200" s="226"/>
      <c r="M200" s="226"/>
      <c r="N200" s="226"/>
      <c r="O200" s="220" t="e">
        <v>#REF!</v>
      </c>
      <c r="P200" s="213" t="e">
        <v>#REF!</v>
      </c>
      <c r="Q200" s="220"/>
      <c r="R200" s="221"/>
      <c r="S200" s="221"/>
      <c r="T200" s="228">
        <f>VLOOKUP(Table2[[#This Row],[Course Title]],Data!$A$1:$E$56,4,FALSE)</f>
        <v>25</v>
      </c>
      <c r="U200" s="228">
        <f>VLOOKUP(Table2[[#This Row],[Course Title]],Data!$A$1:$E$56,5,FALSE)</f>
        <v>5</v>
      </c>
      <c r="V200" s="221"/>
      <c r="W200" s="218"/>
      <c r="X200" s="228"/>
      <c r="Y200" s="228"/>
      <c r="Z200" s="228"/>
      <c r="AA200" s="229">
        <f ca="1">Table2[[#This Row],[End Date]]+2-TODAY()</f>
        <v>-3</v>
      </c>
      <c r="AB200" s="228">
        <f>IF(ISBLANK(#REF!),1,0)</f>
        <v>0</v>
      </c>
      <c r="AC200" s="228">
        <f ca="1">IF(Table2[[#This Row],[Start Date]]&gt;TODAY(),1,)</f>
        <v>0</v>
      </c>
    </row>
    <row r="201" spans="1:29" s="197" customFormat="1">
      <c r="A201" s="215"/>
      <c r="B201" s="224" t="s">
        <v>14</v>
      </c>
      <c r="C201" s="225" t="str">
        <f>VLOOKUP(Table2[[#This Row],[Course Title]],Data!$A$1:$E$56,2,FALSE)</f>
        <v>A-493-0030</v>
      </c>
      <c r="D201" s="225" t="str">
        <f>VLOOKUP(Table2[[#This Row],[Course Title]],Data!$A$1:$E$56,3,FALSE)</f>
        <v>286X</v>
      </c>
      <c r="E201" s="224" t="s">
        <v>121</v>
      </c>
      <c r="F201" s="226">
        <v>45390</v>
      </c>
      <c r="G201" s="226">
        <v>45394</v>
      </c>
      <c r="H201" s="227">
        <v>0.33333333333333331</v>
      </c>
      <c r="I201" s="227"/>
      <c r="J201" s="226"/>
      <c r="K201" s="226"/>
      <c r="L201" s="226"/>
      <c r="M201" s="226"/>
      <c r="N201" s="226"/>
      <c r="O201" s="218" t="e">
        <v>#REF!</v>
      </c>
      <c r="P201" s="213" t="e">
        <v>#REF!</v>
      </c>
      <c r="Q201" s="218"/>
      <c r="R201" s="215"/>
      <c r="S201" s="215"/>
      <c r="T201" s="228">
        <f>VLOOKUP(Table2[[#This Row],[Course Title]],Data!$A$1:$E$56,4,FALSE)</f>
        <v>25</v>
      </c>
      <c r="U201" s="228">
        <f>VLOOKUP(Table2[[#This Row],[Course Title]],Data!$A$1:$E$56,5,FALSE)</f>
        <v>5</v>
      </c>
      <c r="V201" s="228"/>
      <c r="W201" s="218"/>
      <c r="X201" s="228"/>
      <c r="Y201" s="228"/>
      <c r="Z201" s="228"/>
      <c r="AA201" s="229">
        <f ca="1">Table2[[#This Row],[End Date]]+2-TODAY()</f>
        <v>-3</v>
      </c>
      <c r="AB201" s="228">
        <f>IF(ISBLANK(#REF!),1,0)</f>
        <v>0</v>
      </c>
      <c r="AC201" s="228">
        <f ca="1">IF(Table2[[#This Row],[Start Date]]&gt;TODAY(),1,)</f>
        <v>0</v>
      </c>
    </row>
    <row r="202" spans="1:29" s="197" customFormat="1">
      <c r="A202" s="215"/>
      <c r="B202" s="232" t="s">
        <v>23</v>
      </c>
      <c r="C202" s="225" t="str">
        <f>VLOOKUP(Table2[[#This Row],[Course Title]],Data!$A$1:$E$56,2,FALSE)</f>
        <v>A-493-0077</v>
      </c>
      <c r="D202" s="225" t="str">
        <f>VLOOKUP(Table2[[#This Row],[Course Title]],Data!$A$1:$E$56,3,FALSE)</f>
        <v>0381</v>
      </c>
      <c r="E202" s="232" t="s">
        <v>140</v>
      </c>
      <c r="F202" s="239">
        <v>45390</v>
      </c>
      <c r="G202" s="239">
        <v>45392</v>
      </c>
      <c r="H202" s="244">
        <v>0.33333333333333331</v>
      </c>
      <c r="I202" s="244"/>
      <c r="J202" s="226"/>
      <c r="K202" s="226"/>
      <c r="L202" s="226"/>
      <c r="M202" s="226"/>
      <c r="N202" s="226"/>
      <c r="O202" s="218" t="e">
        <v>#REF!</v>
      </c>
      <c r="P202" s="213" t="e">
        <v>#REF!</v>
      </c>
      <c r="Q202" s="218"/>
      <c r="R202" s="215"/>
      <c r="S202" s="215"/>
      <c r="T202" s="228">
        <f>VLOOKUP(Table2[[#This Row],[Course Title]],Data!$A$1:$E$56,4,FALSE)</f>
        <v>25</v>
      </c>
      <c r="U202" s="228">
        <f>VLOOKUP(Table2[[#This Row],[Course Title]],Data!$A$1:$E$56,5,FALSE)</f>
        <v>3</v>
      </c>
      <c r="V202" s="228"/>
      <c r="W202" s="218"/>
      <c r="X202" s="228"/>
      <c r="Y202" s="228"/>
      <c r="Z202" s="228"/>
      <c r="AA202" s="229">
        <f ca="1">Table2[[#This Row],[End Date]]+2-TODAY()</f>
        <v>-5</v>
      </c>
      <c r="AB202" s="228">
        <f>IF(ISBLANK(#REF!),1,0)</f>
        <v>0</v>
      </c>
      <c r="AC202" s="228">
        <f ca="1">IF(Table2[[#This Row],[Start Date]]&gt;TODAY(),1,)</f>
        <v>0</v>
      </c>
    </row>
    <row r="203" spans="1:29" s="197" customFormat="1">
      <c r="A203" s="215"/>
      <c r="B203" s="224" t="s">
        <v>248</v>
      </c>
      <c r="C203" s="225" t="str">
        <f>VLOOKUP(Table2[[#This Row],[Course Title]],Data!$A$1:$E$56,2,FALSE)</f>
        <v>A-322-2604</v>
      </c>
      <c r="D203" s="225" t="str">
        <f>VLOOKUP(Table2[[#This Row],[Course Title]],Data!$A$1:$E$56,3,FALSE)</f>
        <v>10ZZ</v>
      </c>
      <c r="E203" s="224" t="s">
        <v>116</v>
      </c>
      <c r="F203" s="226">
        <v>45390</v>
      </c>
      <c r="G203" s="226">
        <v>45394</v>
      </c>
      <c r="H203" s="226"/>
      <c r="I203" s="244">
        <v>0.54166666666666663</v>
      </c>
      <c r="J203" s="244">
        <v>0.41666666666666669</v>
      </c>
      <c r="K203" s="244">
        <v>0.83333333333333337</v>
      </c>
      <c r="L203" s="244">
        <v>0.75</v>
      </c>
      <c r="M203" s="244">
        <v>0.29166666666666669</v>
      </c>
      <c r="N203" s="244">
        <v>8.3333333333333329E-2</v>
      </c>
      <c r="O203" s="218" t="e">
        <v>#REF!</v>
      </c>
      <c r="P203" s="213" t="e">
        <v>#REF!</v>
      </c>
      <c r="Q203" s="218"/>
      <c r="R203" s="215"/>
      <c r="S203" s="215"/>
      <c r="T203" s="228">
        <f>VLOOKUP(Table2[[#This Row],[Course Title]],Data!$A$1:$E$56,4,FALSE)</f>
        <v>45</v>
      </c>
      <c r="U203" s="228">
        <f>VLOOKUP(Table2[[#This Row],[Course Title]],Data!$A$1:$E$56,5,FALSE)</f>
        <v>5</v>
      </c>
      <c r="V203" s="228"/>
      <c r="W203" s="218"/>
      <c r="X203" s="228"/>
      <c r="Y203" s="228"/>
      <c r="Z203" s="228"/>
      <c r="AA203" s="229">
        <f ca="1">Table2[[#This Row],[End Date]]+2-TODAY()</f>
        <v>-3</v>
      </c>
      <c r="AB203" s="228">
        <f>IF(ISBLANK(#REF!),1,0)</f>
        <v>0</v>
      </c>
      <c r="AC203" s="228">
        <f ca="1">IF(Table2[[#This Row],[Start Date]]&gt;TODAY(),1,)</f>
        <v>0</v>
      </c>
    </row>
    <row r="204" spans="1:29" s="197" customFormat="1">
      <c r="A204" s="215"/>
      <c r="B204" s="224" t="s">
        <v>287</v>
      </c>
      <c r="C204" s="225" t="str">
        <f>VLOOKUP(Table2[[#This Row],[Course Title]],Data!$A$1:$E$56,2,FALSE)</f>
        <v>A-493-0078</v>
      </c>
      <c r="D204" s="225">
        <f>VLOOKUP(Table2[[#This Row],[Course Title]],Data!$A$1:$E$56,3,FALSE)</f>
        <v>1228</v>
      </c>
      <c r="E204" s="224" t="s">
        <v>116</v>
      </c>
      <c r="F204" s="226">
        <v>45390</v>
      </c>
      <c r="G204" s="226">
        <v>45394</v>
      </c>
      <c r="H204" s="226"/>
      <c r="I204" s="244">
        <v>0.54166666666666663</v>
      </c>
      <c r="J204" s="244">
        <v>0.41666666666666669</v>
      </c>
      <c r="K204" s="244">
        <v>0.83333333333333337</v>
      </c>
      <c r="L204" s="244">
        <v>0.75</v>
      </c>
      <c r="M204" s="244">
        <v>0.29166666666666669</v>
      </c>
      <c r="N204" s="244">
        <v>8.3333333333333329E-2</v>
      </c>
      <c r="O204" s="213" t="e">
        <v>#REF!</v>
      </c>
      <c r="P204" s="213" t="e">
        <v>#REF!</v>
      </c>
      <c r="Q204" s="214"/>
      <c r="R204" s="215"/>
      <c r="S204" s="215"/>
      <c r="T204" s="228">
        <f>VLOOKUP(Table2[[#This Row],[Course Title]],Data!$A$1:$E$56,4,FALSE)</f>
        <v>45</v>
      </c>
      <c r="U204" s="228">
        <f>VLOOKUP(Table2[[#This Row],[Course Title]],Data!$A$1:$E$56,5,FALSE)</f>
        <v>5</v>
      </c>
      <c r="V204" s="228"/>
      <c r="W204" s="218"/>
      <c r="X204" s="228"/>
      <c r="Y204" s="228"/>
      <c r="Z204" s="228"/>
      <c r="AA204" s="229">
        <f ca="1">Table2[[#This Row],[End Date]]+2-TODAY()</f>
        <v>-3</v>
      </c>
      <c r="AB204" s="228">
        <f>IF(ISBLANK(#REF!),1,0)</f>
        <v>0</v>
      </c>
      <c r="AC204" s="228">
        <f ca="1">IF(Table2[[#This Row],[Start Date]]&gt;TODAY(),1,)</f>
        <v>0</v>
      </c>
    </row>
    <row r="205" spans="1:29" s="215" customFormat="1">
      <c r="B205" s="224" t="s">
        <v>34</v>
      </c>
      <c r="C205" s="225" t="str">
        <f>VLOOKUP(Table2[[#This Row],[Course Title]],Data!$A$1:$E$56,2,FALSE)</f>
        <v>A-493-0085</v>
      </c>
      <c r="D205" s="225">
        <f>VLOOKUP(Table2[[#This Row],[Course Title]],Data!$A$1:$E$56,3,FALSE)</f>
        <v>3555</v>
      </c>
      <c r="E205" s="224" t="s">
        <v>116</v>
      </c>
      <c r="F205" s="226">
        <v>45390</v>
      </c>
      <c r="G205" s="226">
        <v>45393</v>
      </c>
      <c r="H205" s="226"/>
      <c r="I205" s="244">
        <v>0.79166666666666663</v>
      </c>
      <c r="J205" s="244">
        <v>0.66666666666666663</v>
      </c>
      <c r="K205" s="244">
        <v>8.3333333333333329E-2</v>
      </c>
      <c r="L205" s="244">
        <v>0</v>
      </c>
      <c r="M205" s="244">
        <v>0.54166666666666663</v>
      </c>
      <c r="N205" s="244">
        <v>0.33333333333333331</v>
      </c>
      <c r="O205" s="213" t="e">
        <v>#REF!</v>
      </c>
      <c r="P205" s="213" t="e">
        <v>#REF!</v>
      </c>
      <c r="Q205" s="213"/>
      <c r="T205" s="228">
        <f>VLOOKUP(Table2[[#This Row],[Course Title]],Data!$A$1:$E$56,4,FALSE)</f>
        <v>30</v>
      </c>
      <c r="U205" s="228">
        <f>VLOOKUP(Table2[[#This Row],[Course Title]],Data!$A$1:$E$56,5,FALSE)</f>
        <v>4</v>
      </c>
      <c r="V205" s="228"/>
      <c r="W205" s="218"/>
      <c r="X205" s="228"/>
      <c r="Y205" s="228"/>
      <c r="Z205" s="228"/>
      <c r="AA205" s="229">
        <f ca="1">Table2[[#This Row],[End Date]]+2-TODAY()</f>
        <v>-4</v>
      </c>
      <c r="AB205" s="228">
        <f>IF(ISBLANK(#REF!),1,0)</f>
        <v>0</v>
      </c>
      <c r="AC205" s="228">
        <f ca="1">IF(Table2[[#This Row],[Start Date]]&gt;TODAY(),1,)</f>
        <v>0</v>
      </c>
    </row>
    <row r="206" spans="1:29" s="197" customFormat="1">
      <c r="A206" s="215"/>
      <c r="B206" s="224" t="s">
        <v>266</v>
      </c>
      <c r="C206" s="225" t="str">
        <f>VLOOKUP(Table2[[#This Row],[Course Title]],Data!$A$1:$E$56,2,FALSE)</f>
        <v>A-493-0331</v>
      </c>
      <c r="D206" s="225" t="str">
        <f>VLOOKUP(Table2[[#This Row],[Course Title]],Data!$A$1:$E$56,3,FALSE)</f>
        <v>10UG</v>
      </c>
      <c r="E206" s="224" t="s">
        <v>116</v>
      </c>
      <c r="F206" s="226">
        <v>45391</v>
      </c>
      <c r="G206" s="226">
        <v>45393</v>
      </c>
      <c r="H206" s="226"/>
      <c r="I206" s="244">
        <v>0.5</v>
      </c>
      <c r="J206" s="244">
        <v>0.375</v>
      </c>
      <c r="K206" s="244">
        <v>0.79166666666666663</v>
      </c>
      <c r="L206" s="244">
        <v>0.70833333333333337</v>
      </c>
      <c r="M206" s="244">
        <v>0.25</v>
      </c>
      <c r="N206" s="244">
        <v>4.1666666666666664E-2</v>
      </c>
      <c r="O206" s="213" t="e">
        <v>#REF!</v>
      </c>
      <c r="P206" s="213" t="e">
        <v>#REF!</v>
      </c>
      <c r="Q206" s="214"/>
      <c r="R206" s="215"/>
      <c r="S206" s="215"/>
      <c r="T206" s="228">
        <f>VLOOKUP(Table2[[#This Row],[Course Title]],Data!$A$1:$E$56,4,FALSE)</f>
        <v>40</v>
      </c>
      <c r="U206" s="228">
        <f>VLOOKUP(Table2[[#This Row],[Course Title]],Data!$A$1:$E$56,5,FALSE)</f>
        <v>3</v>
      </c>
      <c r="V206" s="228"/>
      <c r="W206" s="218"/>
      <c r="X206" s="228"/>
      <c r="Y206" s="228"/>
      <c r="Z206" s="228"/>
      <c r="AA206" s="229">
        <f ca="1">Table2[[#This Row],[End Date]]+2-TODAY()</f>
        <v>-4</v>
      </c>
      <c r="AB206" s="228">
        <f>IF(ISBLANK(#REF!),1,0)</f>
        <v>0</v>
      </c>
      <c r="AC206" s="228">
        <f ca="1">IF(Table2[[#This Row],[Start Date]]&gt;TODAY(),1,)</f>
        <v>0</v>
      </c>
    </row>
    <row r="207" spans="1:29" s="197" customFormat="1">
      <c r="A207" s="215"/>
      <c r="B207" s="224" t="s">
        <v>19</v>
      </c>
      <c r="C207" s="225" t="str">
        <f>VLOOKUP(Table2[[#This Row],[Course Title]],Data!$A$1:$E$56,2,FALSE)</f>
        <v>A-493-0099</v>
      </c>
      <c r="D207" s="225" t="str">
        <f>VLOOKUP(Table2[[#This Row],[Course Title]],Data!$A$1:$E$56,3,FALSE)</f>
        <v>12JW</v>
      </c>
      <c r="E207" s="224" t="s">
        <v>116</v>
      </c>
      <c r="F207" s="226">
        <v>45391</v>
      </c>
      <c r="G207" s="226">
        <v>45393</v>
      </c>
      <c r="H207" s="226"/>
      <c r="I207" s="244">
        <v>0.41666666666666669</v>
      </c>
      <c r="J207" s="244">
        <v>0.29166666666666669</v>
      </c>
      <c r="K207" s="244">
        <v>0.70833333333333337</v>
      </c>
      <c r="L207" s="244">
        <v>0.625</v>
      </c>
      <c r="M207" s="244">
        <v>0.16666666666666666</v>
      </c>
      <c r="N207" s="244">
        <v>0.95833333333333337</v>
      </c>
      <c r="O207" s="213" t="e">
        <v>#REF!</v>
      </c>
      <c r="P207" s="213" t="e">
        <v>#REF!</v>
      </c>
      <c r="Q207" s="214"/>
      <c r="R207" s="215"/>
      <c r="S207" s="215"/>
      <c r="T207" s="228">
        <f>VLOOKUP(Table2[[#This Row],[Course Title]],Data!$A$1:$E$56,4,FALSE)</f>
        <v>45</v>
      </c>
      <c r="U207" s="228">
        <f>VLOOKUP(Table2[[#This Row],[Course Title]],Data!$A$1:$E$56,5,FALSE)</f>
        <v>3</v>
      </c>
      <c r="V207" s="228"/>
      <c r="W207" s="218"/>
      <c r="X207" s="228"/>
      <c r="Y207" s="228"/>
      <c r="Z207" s="228"/>
      <c r="AA207" s="229">
        <f ca="1">Table2[[#This Row],[End Date]]+2-TODAY()</f>
        <v>-4</v>
      </c>
      <c r="AB207" s="228">
        <f>IF(ISBLANK(#REF!),1,0)</f>
        <v>0</v>
      </c>
      <c r="AC207" s="228">
        <f ca="1">IF(Table2[[#This Row],[Start Date]]&gt;TODAY(),1,)</f>
        <v>0</v>
      </c>
    </row>
    <row r="208" spans="1:29" s="197" customFormat="1">
      <c r="A208" s="198"/>
      <c r="B208" s="198" t="s">
        <v>20</v>
      </c>
      <c r="C208" s="199" t="str">
        <f>VLOOKUP(Table2[[#This Row],[Course Title]],Data!$A$1:$E$56,2,FALSE)</f>
        <v xml:space="preserve">A-493-0075 </v>
      </c>
      <c r="D208" s="199" t="str">
        <f>VLOOKUP(Table2[[#This Row],[Course Title]],Data!$A$1:$E$56,3,FALSE)</f>
        <v>714U</v>
      </c>
      <c r="E208" s="209" t="s">
        <v>352</v>
      </c>
      <c r="F208" s="223">
        <v>45391</v>
      </c>
      <c r="G208" s="223">
        <v>45394</v>
      </c>
      <c r="H208" s="203">
        <v>0.33333333333333331</v>
      </c>
      <c r="I208" s="203"/>
      <c r="J208" s="201"/>
      <c r="K208" s="201"/>
      <c r="L208" s="201"/>
      <c r="M208" s="201"/>
      <c r="N208" s="201"/>
      <c r="O208" s="204" t="e">
        <v>#REF!</v>
      </c>
      <c r="P208" s="204" t="e">
        <v>#REF!</v>
      </c>
      <c r="Q208" s="205"/>
      <c r="T208" s="206">
        <f>VLOOKUP(Table2[[#This Row],[Course Title]],Data!$A$1:$E$56,4,FALSE)</f>
        <v>30</v>
      </c>
      <c r="U208" s="206">
        <f>VLOOKUP(Table2[[#This Row],[Course Title]],Data!$A$1:$E$56,5,FALSE)</f>
        <v>4</v>
      </c>
      <c r="V208" s="206">
        <v>15</v>
      </c>
      <c r="W208" s="207">
        <v>0</v>
      </c>
      <c r="X208" s="206">
        <v>1</v>
      </c>
      <c r="Y208" s="206">
        <v>0</v>
      </c>
      <c r="Z208" s="206">
        <v>0</v>
      </c>
      <c r="AA208" s="208">
        <f ca="1">Table2[[#This Row],[End Date]]+2-TODAY()</f>
        <v>-3</v>
      </c>
      <c r="AB208" s="206">
        <f>IF(ISBLANK(#REF!),1,0)</f>
        <v>0</v>
      </c>
      <c r="AC208" s="206">
        <f ca="1">IF(Table2[[#This Row],[Start Date]]&gt;TODAY(),1,)</f>
        <v>0</v>
      </c>
    </row>
    <row r="209" spans="1:29" s="197" customFormat="1">
      <c r="A209" s="215"/>
      <c r="B209" s="224" t="s">
        <v>24</v>
      </c>
      <c r="C209" s="225" t="str">
        <f>VLOOKUP(Table2[[#This Row],[Course Title]],Data!$A$1:$E$56,2,FALSE)</f>
        <v>A-493-0083</v>
      </c>
      <c r="D209" s="225" t="str">
        <f>VLOOKUP(Table2[[#This Row],[Course Title]],Data!$A$1:$E$56,3,FALSE)</f>
        <v>339E</v>
      </c>
      <c r="E209" s="232" t="s">
        <v>140</v>
      </c>
      <c r="F209" s="239">
        <v>45393</v>
      </c>
      <c r="G209" s="239">
        <v>45393</v>
      </c>
      <c r="H209" s="244">
        <v>0.33333333333333331</v>
      </c>
      <c r="I209" s="244"/>
      <c r="J209" s="226"/>
      <c r="K209" s="226"/>
      <c r="L209" s="226"/>
      <c r="M209" s="226"/>
      <c r="N209" s="226"/>
      <c r="O209" s="218" t="e">
        <v>#REF!</v>
      </c>
      <c r="P209" s="213" t="e">
        <v>#REF!</v>
      </c>
      <c r="Q209" s="218"/>
      <c r="R209" s="215"/>
      <c r="S209" s="215"/>
      <c r="T209" s="228">
        <f>VLOOKUP(Table2[[#This Row],[Course Title]],Data!$A$1:$E$56,4,FALSE)</f>
        <v>30</v>
      </c>
      <c r="U209" s="228">
        <f>VLOOKUP(Table2[[#This Row],[Course Title]],Data!$A$1:$E$56,5,FALSE)</f>
        <v>1</v>
      </c>
      <c r="V209" s="228"/>
      <c r="W209" s="218"/>
      <c r="X209" s="228"/>
      <c r="Y209" s="228"/>
      <c r="Z209" s="228"/>
      <c r="AA209" s="229">
        <f ca="1">Table2[[#This Row],[End Date]]+2-TODAY()</f>
        <v>-4</v>
      </c>
      <c r="AB209" s="228">
        <f>IF(ISBLANK(#REF!),1,0)</f>
        <v>0</v>
      </c>
      <c r="AC209" s="228">
        <f ca="1">IF(Table2[[#This Row],[Start Date]]&gt;TODAY(),1,)</f>
        <v>0</v>
      </c>
    </row>
    <row r="210" spans="1:29" s="197" customFormat="1">
      <c r="A210" s="215"/>
      <c r="B210" s="224" t="s">
        <v>17</v>
      </c>
      <c r="C210" s="225" t="str">
        <f>VLOOKUP(Table2[[#This Row],[Course Title]],Data!$A$1:$E$56,2,FALSE)</f>
        <v>A-493-0012</v>
      </c>
      <c r="D210" s="225">
        <f>VLOOKUP(Table2[[#This Row],[Course Title]],Data!$A$1:$E$56,3,FALSE)</f>
        <v>3682</v>
      </c>
      <c r="E210" s="232" t="s">
        <v>160</v>
      </c>
      <c r="F210" s="239">
        <v>45397</v>
      </c>
      <c r="G210" s="226">
        <v>45401</v>
      </c>
      <c r="H210" s="227">
        <v>0.33333333333333331</v>
      </c>
      <c r="I210" s="227"/>
      <c r="J210" s="226"/>
      <c r="K210" s="226"/>
      <c r="L210" s="226"/>
      <c r="M210" s="226"/>
      <c r="N210" s="226"/>
      <c r="O210" s="218" t="e">
        <v>#REF!</v>
      </c>
      <c r="P210" s="213" t="e">
        <v>#REF!</v>
      </c>
      <c r="Q210" s="218"/>
      <c r="R210" s="215"/>
      <c r="S210" s="215"/>
      <c r="T210" s="228">
        <f>VLOOKUP(Table2[[#This Row],[Course Title]],Data!$A$1:$E$56,4,FALSE)</f>
        <v>40</v>
      </c>
      <c r="U210" s="228">
        <f>VLOOKUP(Table2[[#This Row],[Course Title]],Data!$A$1:$E$56,5,FALSE)</f>
        <v>5</v>
      </c>
      <c r="V210" s="228"/>
      <c r="W210" s="218"/>
      <c r="X210" s="228"/>
      <c r="Y210" s="228"/>
      <c r="Z210" s="228"/>
      <c r="AA210" s="229">
        <f ca="1">Table2[[#This Row],[End Date]]+2-TODAY()</f>
        <v>4</v>
      </c>
      <c r="AB210" s="228">
        <f>IF(ISBLANK(#REF!),1,0)</f>
        <v>0</v>
      </c>
      <c r="AC210" s="228">
        <f ca="1">IF(Table2[[#This Row],[Start Date]]&gt;TODAY(),1,)</f>
        <v>0</v>
      </c>
    </row>
    <row r="211" spans="1:29" s="197" customFormat="1">
      <c r="A211" s="215"/>
      <c r="B211" s="224" t="s">
        <v>184</v>
      </c>
      <c r="C211" s="225" t="str">
        <f>VLOOKUP(Table2[[#This Row],[Course Title]],Data!$A$1:$E$56,2,FALSE)</f>
        <v>A-4J-0022</v>
      </c>
      <c r="D211" s="225" t="str">
        <f>VLOOKUP(Table2[[#This Row],[Course Title]],Data!$A$1:$E$56,3,FALSE)</f>
        <v>09ER</v>
      </c>
      <c r="E211" s="224" t="s">
        <v>116</v>
      </c>
      <c r="F211" s="239">
        <v>45397</v>
      </c>
      <c r="G211" s="226">
        <v>45401</v>
      </c>
      <c r="H211" s="226"/>
      <c r="I211" s="244">
        <v>0.54166666666666663</v>
      </c>
      <c r="J211" s="244">
        <v>0.41666666666666669</v>
      </c>
      <c r="K211" s="244">
        <v>0.83333333333333337</v>
      </c>
      <c r="L211" s="244">
        <v>0.75</v>
      </c>
      <c r="M211" s="244">
        <v>0.29166666666666669</v>
      </c>
      <c r="N211" s="244">
        <v>8.3333333333333329E-2</v>
      </c>
      <c r="O211" s="218" t="e">
        <v>#REF!</v>
      </c>
      <c r="P211" s="213" t="e">
        <v>#REF!</v>
      </c>
      <c r="Q211" s="218"/>
      <c r="R211" s="215"/>
      <c r="S211" s="215"/>
      <c r="T211" s="228">
        <f>VLOOKUP(Table2[[#This Row],[Course Title]],Data!$A$1:$E$56,4,FALSE)</f>
        <v>45</v>
      </c>
      <c r="U211" s="228">
        <f>VLOOKUP(Table2[[#This Row],[Course Title]],Data!$A$1:$E$56,5,FALSE)</f>
        <v>5</v>
      </c>
      <c r="V211" s="228"/>
      <c r="W211" s="218"/>
      <c r="X211" s="228"/>
      <c r="Y211" s="228"/>
      <c r="Z211" s="228"/>
      <c r="AA211" s="229">
        <f ca="1">Table2[[#This Row],[End Date]]+2-TODAY()</f>
        <v>4</v>
      </c>
      <c r="AB211" s="228">
        <f>IF(ISBLANK(#REF!),1,0)</f>
        <v>0</v>
      </c>
      <c r="AC211" s="228">
        <f ca="1">IF(Table2[[#This Row],[Start Date]]&gt;TODAY(),1,)</f>
        <v>0</v>
      </c>
    </row>
    <row r="212" spans="1:29" s="215" customFormat="1">
      <c r="A212" s="215" t="s">
        <v>469</v>
      </c>
      <c r="B212" s="224" t="s">
        <v>333</v>
      </c>
      <c r="C212" s="225" t="str">
        <f>VLOOKUP(Table2[[#This Row],[Course Title]],Data!$A$1:$E$56,2,FALSE)</f>
        <v>NA</v>
      </c>
      <c r="D212" s="225" t="str">
        <f>VLOOKUP(Table2[[#This Row],[Course Title]],Data!$A$1:$E$56,3,FALSE)</f>
        <v>NA</v>
      </c>
      <c r="E212" s="224" t="s">
        <v>140</v>
      </c>
      <c r="F212" s="226">
        <v>45397</v>
      </c>
      <c r="G212" s="226">
        <v>45397</v>
      </c>
      <c r="H212" s="227">
        <v>0.375</v>
      </c>
      <c r="I212" s="227"/>
      <c r="J212" s="226"/>
      <c r="K212" s="226"/>
      <c r="L212" s="226"/>
      <c r="M212" s="226"/>
      <c r="N212" s="226"/>
      <c r="O212" s="218" t="e">
        <v>#REF!</v>
      </c>
      <c r="P212" s="213" t="e">
        <v>#REF!</v>
      </c>
      <c r="Q212" s="214">
        <v>0</v>
      </c>
      <c r="R212" s="215">
        <v>0</v>
      </c>
      <c r="S212" s="215">
        <v>0</v>
      </c>
      <c r="T212" s="228">
        <f>VLOOKUP(Table2[[#This Row],[Course Title]],Data!$A$1:$E$56,4,FALSE)</f>
        <v>0</v>
      </c>
      <c r="U212" s="228">
        <f>VLOOKUP(Table2[[#This Row],[Course Title]],Data!$A$1:$E$56,5,FALSE)</f>
        <v>0</v>
      </c>
      <c r="V212" s="228">
        <v>0</v>
      </c>
      <c r="W212" s="218">
        <v>0</v>
      </c>
      <c r="X212" s="228">
        <v>0</v>
      </c>
      <c r="Y212" s="228">
        <v>0</v>
      </c>
      <c r="Z212" s="228">
        <v>0</v>
      </c>
      <c r="AA212" s="229">
        <f ca="1">Table2[[#This Row],[End Date]]+2-TODAY()</f>
        <v>0</v>
      </c>
      <c r="AB212" s="228">
        <f>IF(ISBLANK(#REF!),1,0)</f>
        <v>0</v>
      </c>
      <c r="AC212" s="228">
        <f ca="1">IF(Table2[[#This Row],[Start Date]]&gt;TODAY(),1,)</f>
        <v>0</v>
      </c>
    </row>
    <row r="213" spans="1:29" s="197" customFormat="1">
      <c r="A213" s="215"/>
      <c r="B213" s="224" t="s">
        <v>327</v>
      </c>
      <c r="C213" s="225" t="str">
        <f>VLOOKUP(Table2[[#This Row],[Course Title]],Data!$A$1:$E$56,2,FALSE)</f>
        <v>PDS</v>
      </c>
      <c r="D213" s="225" t="str">
        <f>VLOOKUP(Table2[[#This Row],[Course Title]],Data!$A$1:$E$56,3,FALSE)</f>
        <v>PDS</v>
      </c>
      <c r="E213" s="224"/>
      <c r="F213" s="226">
        <v>45397</v>
      </c>
      <c r="G213" s="226">
        <v>45408</v>
      </c>
      <c r="H213" s="227">
        <v>0</v>
      </c>
      <c r="I213" s="227">
        <v>0</v>
      </c>
      <c r="J213" s="227">
        <v>0</v>
      </c>
      <c r="K213" s="227">
        <v>0</v>
      </c>
      <c r="L213" s="227">
        <v>0</v>
      </c>
      <c r="M213" s="227">
        <v>0</v>
      </c>
      <c r="N213" s="227">
        <v>0</v>
      </c>
      <c r="O213" s="213" t="e">
        <v>#REF!</v>
      </c>
      <c r="P213" s="213" t="e">
        <v>#REF!</v>
      </c>
      <c r="Q213" s="214">
        <v>0</v>
      </c>
      <c r="R213" s="215">
        <v>0</v>
      </c>
      <c r="S213" s="215">
        <v>0</v>
      </c>
      <c r="T213" s="228">
        <f>VLOOKUP(Table2[[#This Row],[Course Title]],Data!$A$1:$E$56,4,FALSE)</f>
        <v>0</v>
      </c>
      <c r="U213" s="228">
        <f>VLOOKUP(Table2[[#This Row],[Course Title]],Data!$A$1:$E$56,5,FALSE)</f>
        <v>0</v>
      </c>
      <c r="V213" s="228">
        <v>0</v>
      </c>
      <c r="W213" s="218">
        <v>0</v>
      </c>
      <c r="X213" s="228">
        <v>0</v>
      </c>
      <c r="Y213" s="228">
        <v>0</v>
      </c>
      <c r="Z213" s="228">
        <v>0</v>
      </c>
      <c r="AA213" s="229">
        <f ca="1">Table2[[#This Row],[End Date]]+2-TODAY()</f>
        <v>11</v>
      </c>
      <c r="AB213" s="228">
        <f>IF(ISBLANK(#REF!),1,0)</f>
        <v>0</v>
      </c>
      <c r="AC213" s="228">
        <f ca="1">IF(Table2[[#This Row],[Start Date]]&gt;TODAY(),1,)</f>
        <v>0</v>
      </c>
    </row>
    <row r="214" spans="1:29" s="197" customFormat="1">
      <c r="A214" s="215"/>
      <c r="B214" s="224" t="s">
        <v>24</v>
      </c>
      <c r="C214" s="225" t="str">
        <f>VLOOKUP(Table2[[#This Row],[Course Title]],Data!$A$1:$E$56,2,FALSE)</f>
        <v>A-493-0083</v>
      </c>
      <c r="D214" s="225" t="str">
        <f>VLOOKUP(Table2[[#This Row],[Course Title]],Data!$A$1:$E$56,3,FALSE)</f>
        <v>339E</v>
      </c>
      <c r="E214" s="224" t="s">
        <v>116</v>
      </c>
      <c r="F214" s="239">
        <v>45397</v>
      </c>
      <c r="G214" s="239">
        <v>45397</v>
      </c>
      <c r="H214" s="239"/>
      <c r="I214" s="244">
        <v>0.58333333333333337</v>
      </c>
      <c r="J214" s="244">
        <v>0.45833333333333331</v>
      </c>
      <c r="K214" s="244">
        <v>0.875</v>
      </c>
      <c r="L214" s="244">
        <v>0.79166666666666663</v>
      </c>
      <c r="M214" s="244">
        <v>0.33333333333333331</v>
      </c>
      <c r="N214" s="244">
        <v>0.125</v>
      </c>
      <c r="O214" s="218" t="e">
        <v>#REF!</v>
      </c>
      <c r="P214" s="213" t="e">
        <v>#REF!</v>
      </c>
      <c r="Q214" s="218"/>
      <c r="R214" s="215"/>
      <c r="S214" s="215"/>
      <c r="T214" s="228">
        <f>VLOOKUP(Table2[[#This Row],[Course Title]],Data!$A$1:$E$56,4,FALSE)</f>
        <v>30</v>
      </c>
      <c r="U214" s="228">
        <f>VLOOKUP(Table2[[#This Row],[Course Title]],Data!$A$1:$E$56,5,FALSE)</f>
        <v>1</v>
      </c>
      <c r="V214" s="228"/>
      <c r="W214" s="218"/>
      <c r="X214" s="228"/>
      <c r="Y214" s="228"/>
      <c r="Z214" s="228"/>
      <c r="AA214" s="229">
        <f ca="1">Table2[[#This Row],[End Date]]+2-TODAY()</f>
        <v>0</v>
      </c>
      <c r="AB214" s="228">
        <f>IF(ISBLANK(#REF!),1,0)</f>
        <v>0</v>
      </c>
      <c r="AC214" s="228">
        <f ca="1">IF(Table2[[#This Row],[Start Date]]&gt;TODAY(),1,)</f>
        <v>0</v>
      </c>
    </row>
    <row r="215" spans="1:29" s="215" customFormat="1">
      <c r="B215" s="224" t="s">
        <v>18</v>
      </c>
      <c r="C215" s="225" t="str">
        <f>VLOOKUP(Table2[[#This Row],[Course Title]],Data!$A$1:$E$56,2,FALSE)</f>
        <v>A-493-0013</v>
      </c>
      <c r="D215" s="225">
        <f>VLOOKUP(Table2[[#This Row],[Course Title]],Data!$A$1:$E$56,3,FALSE)</f>
        <v>3683</v>
      </c>
      <c r="E215" s="224" t="s">
        <v>148</v>
      </c>
      <c r="F215" s="226">
        <v>45398</v>
      </c>
      <c r="G215" s="226">
        <v>45400</v>
      </c>
      <c r="H215" s="227">
        <v>0.33333333333333331</v>
      </c>
      <c r="I215" s="227"/>
      <c r="J215" s="226"/>
      <c r="K215" s="226"/>
      <c r="L215" s="226"/>
      <c r="M215" s="226"/>
      <c r="N215" s="226"/>
      <c r="O215" s="218" t="e">
        <v>#REF!</v>
      </c>
      <c r="P215" s="213" t="e">
        <v>#REF!</v>
      </c>
      <c r="Q215" s="218"/>
      <c r="T215" s="228">
        <f>VLOOKUP(Table2[[#This Row],[Course Title]],Data!$A$1:$E$56,4,FALSE)</f>
        <v>40</v>
      </c>
      <c r="U215" s="228">
        <v>3</v>
      </c>
      <c r="V215" s="228"/>
      <c r="W215" s="218"/>
      <c r="X215" s="228"/>
      <c r="Y215" s="228"/>
      <c r="Z215" s="228"/>
      <c r="AA215" s="229">
        <f ca="1">Table2[[#This Row],[End Date]]+2-TODAY()</f>
        <v>3</v>
      </c>
      <c r="AB215" s="228">
        <f>IF(ISBLANK(#REF!),1,0)</f>
        <v>0</v>
      </c>
      <c r="AC215" s="228">
        <f ca="1">IF(Table2[[#This Row],[Start Date]]&gt;TODAY(),1,)</f>
        <v>0</v>
      </c>
    </row>
    <row r="216" spans="1:29" s="197" customFormat="1">
      <c r="A216" s="215"/>
      <c r="B216" s="224" t="s">
        <v>26</v>
      </c>
      <c r="C216" s="225" t="str">
        <f>VLOOKUP(Table2[[#This Row],[Course Title]],Data!$A$1:$E$56,2,FALSE)</f>
        <v>A-493-2301</v>
      </c>
      <c r="D216" s="225" t="str">
        <f>VLOOKUP(Table2[[#This Row],[Course Title]],Data!$A$1:$E$56,3,FALSE)</f>
        <v>05ZD</v>
      </c>
      <c r="E216" s="232" t="s">
        <v>103</v>
      </c>
      <c r="F216" s="226">
        <v>45399</v>
      </c>
      <c r="G216" s="226">
        <v>45399</v>
      </c>
      <c r="H216" s="227">
        <v>0.33333333333333331</v>
      </c>
      <c r="I216" s="227"/>
      <c r="J216" s="226"/>
      <c r="K216" s="226"/>
      <c r="L216" s="226"/>
      <c r="M216" s="226"/>
      <c r="N216" s="226"/>
      <c r="O216" s="218" t="e">
        <v>#REF!</v>
      </c>
      <c r="P216" s="213" t="e">
        <v>#REF!</v>
      </c>
      <c r="Q216" s="218"/>
      <c r="R216" s="215"/>
      <c r="S216" s="215"/>
      <c r="T216" s="228">
        <f>VLOOKUP(Table2[[#This Row],[Course Title]],Data!$A$1:$E$56,4,FALSE)</f>
        <v>30</v>
      </c>
      <c r="U216" s="228">
        <f>VLOOKUP(Table2[[#This Row],[Course Title]],Data!$A$1:$E$56,5,FALSE)</f>
        <v>1</v>
      </c>
      <c r="V216" s="228"/>
      <c r="W216" s="218"/>
      <c r="X216" s="228"/>
      <c r="Y216" s="228"/>
      <c r="Z216" s="225"/>
      <c r="AA216" s="229">
        <f ca="1">Table2[[#This Row],[End Date]]+2-TODAY()</f>
        <v>2</v>
      </c>
      <c r="AB216" s="228">
        <f>IF(ISBLANK(#REF!),1,0)</f>
        <v>0</v>
      </c>
      <c r="AC216" s="228">
        <f ca="1">IF(Table2[[#This Row],[Start Date]]&gt;TODAY(),1,)</f>
        <v>0</v>
      </c>
    </row>
    <row r="217" spans="1:29" s="197" customFormat="1">
      <c r="A217" s="215"/>
      <c r="B217" s="224" t="s">
        <v>27</v>
      </c>
      <c r="C217" s="225" t="str">
        <f>VLOOKUP(Table2[[#This Row],[Course Title]],Data!$A$1:$E$56,2,FALSE)</f>
        <v>A-493-0216</v>
      </c>
      <c r="D217" s="225" t="str">
        <f>VLOOKUP(Table2[[#This Row],[Course Title]],Data!$A$1:$E$56,3,FALSE)</f>
        <v>12X8</v>
      </c>
      <c r="E217" s="232" t="s">
        <v>103</v>
      </c>
      <c r="F217" s="226">
        <v>45400</v>
      </c>
      <c r="G217" s="226">
        <v>45400</v>
      </c>
      <c r="H217" s="227">
        <v>0.33333333333333331</v>
      </c>
      <c r="I217" s="227"/>
      <c r="J217" s="226"/>
      <c r="K217" s="226"/>
      <c r="L217" s="226"/>
      <c r="M217" s="226"/>
      <c r="N217" s="226"/>
      <c r="O217" s="218" t="e">
        <v>#REF!</v>
      </c>
      <c r="P217" s="213" t="e">
        <v>#REF!</v>
      </c>
      <c r="Q217" s="218"/>
      <c r="R217" s="215"/>
      <c r="S217" s="215"/>
      <c r="T217" s="228">
        <f>VLOOKUP(Table2[[#This Row],[Course Title]],Data!$A$1:$E$56,4,FALSE)</f>
        <v>30</v>
      </c>
      <c r="U217" s="228">
        <f>VLOOKUP(Table2[[#This Row],[Course Title]],Data!$A$1:$E$56,5,FALSE)</f>
        <v>1</v>
      </c>
      <c r="V217" s="228"/>
      <c r="W217" s="218"/>
      <c r="X217" s="228"/>
      <c r="Y217" s="228"/>
      <c r="Z217" s="228"/>
      <c r="AA217" s="229">
        <f ca="1">Table2[[#This Row],[End Date]]+2-TODAY()</f>
        <v>3</v>
      </c>
      <c r="AB217" s="228">
        <f>IF(ISBLANK(#REF!),1,0)</f>
        <v>0</v>
      </c>
      <c r="AC217" s="228">
        <f ca="1">IF(Table2[[#This Row],[Start Date]]&gt;TODAY(),1,)</f>
        <v>1</v>
      </c>
    </row>
    <row r="218" spans="1:29" s="197" customFormat="1">
      <c r="A218" s="215"/>
      <c r="B218" s="224" t="s">
        <v>35</v>
      </c>
      <c r="C218" s="225" t="str">
        <f>VLOOKUP(Table2[[#This Row],[Course Title]],Data!$A$1:$E$56,2,FALSE)</f>
        <v>A-493-2501</v>
      </c>
      <c r="D218" s="225" t="str">
        <f>VLOOKUP(Table2[[#This Row],[Course Title]],Data!$A$1:$E$56,3,FALSE)</f>
        <v>05ZE</v>
      </c>
      <c r="E218" s="232" t="s">
        <v>103</v>
      </c>
      <c r="F218" s="226">
        <v>45401</v>
      </c>
      <c r="G218" s="226">
        <v>45401</v>
      </c>
      <c r="H218" s="227">
        <v>0.33333333333333331</v>
      </c>
      <c r="I218" s="227"/>
      <c r="J218" s="226"/>
      <c r="K218" s="226"/>
      <c r="L218" s="226"/>
      <c r="M218" s="226"/>
      <c r="N218" s="226"/>
      <c r="O218" s="218" t="e">
        <v>#REF!</v>
      </c>
      <c r="P218" s="213" t="e">
        <v>#REF!</v>
      </c>
      <c r="Q218" s="218"/>
      <c r="R218" s="215"/>
      <c r="S218" s="215"/>
      <c r="T218" s="228">
        <f>VLOOKUP(Table2[[#This Row],[Course Title]],Data!$A$1:$E$56,4,FALSE)</f>
        <v>30</v>
      </c>
      <c r="U218" s="228">
        <f>VLOOKUP(Table2[[#This Row],[Course Title]],Data!$A$1:$E$56,5,FALSE)</f>
        <v>1</v>
      </c>
      <c r="V218" s="228"/>
      <c r="W218" s="218"/>
      <c r="X218" s="228"/>
      <c r="Y218" s="228"/>
      <c r="Z218" s="228"/>
      <c r="AA218" s="229">
        <f ca="1">Table2[[#This Row],[End Date]]+2-TODAY()</f>
        <v>4</v>
      </c>
      <c r="AB218" s="228">
        <f>IF(ISBLANK(#REF!),1,0)</f>
        <v>0</v>
      </c>
      <c r="AC218" s="228">
        <f ca="1">IF(Table2[[#This Row],[Start Date]]&gt;TODAY(),1,)</f>
        <v>1</v>
      </c>
    </row>
    <row r="219" spans="1:29" s="197" customFormat="1">
      <c r="A219" s="215" t="s">
        <v>481</v>
      </c>
      <c r="B219" s="224" t="s">
        <v>17</v>
      </c>
      <c r="C219" s="225" t="str">
        <f>VLOOKUP(Table2[[#This Row],[Course Title]],Data!$A$1:$E$56,2,FALSE)</f>
        <v>A-493-0012</v>
      </c>
      <c r="D219" s="225">
        <f>VLOOKUP(Table2[[#This Row],[Course Title]],Data!$A$1:$E$56,3,FALSE)</f>
        <v>3682</v>
      </c>
      <c r="E219" s="224" t="s">
        <v>225</v>
      </c>
      <c r="F219" s="226">
        <v>45404</v>
      </c>
      <c r="G219" s="226">
        <v>45408</v>
      </c>
      <c r="H219" s="227">
        <v>0.33333333333333331</v>
      </c>
      <c r="I219" s="227"/>
      <c r="J219" s="226"/>
      <c r="K219" s="226"/>
      <c r="L219" s="226"/>
      <c r="M219" s="226"/>
      <c r="N219" s="226"/>
      <c r="O219" s="218"/>
      <c r="P219" s="213"/>
      <c r="Q219" s="218"/>
      <c r="R219" s="215"/>
      <c r="S219" s="215"/>
      <c r="T219" s="218">
        <v>40</v>
      </c>
      <c r="U219" s="213">
        <v>5</v>
      </c>
      <c r="V219" s="218"/>
      <c r="W219" s="218"/>
      <c r="X219" s="228"/>
      <c r="Y219" s="228"/>
      <c r="Z219" s="228"/>
      <c r="AA219" s="229">
        <f ca="1">Table2[[#This Row],[End Date]]+2-TODAY()</f>
        <v>11</v>
      </c>
      <c r="AB219" s="228">
        <f>IF(ISBLANK(#REF!),1,0)</f>
        <v>0</v>
      </c>
      <c r="AC219" s="228">
        <f ca="1">IF(Table2[[#This Row],[Start Date]]&gt;TODAY(),1,)</f>
        <v>1</v>
      </c>
    </row>
    <row r="220" spans="1:29" s="197" customFormat="1">
      <c r="A220" s="215"/>
      <c r="B220" s="224" t="s">
        <v>17</v>
      </c>
      <c r="C220" s="225" t="str">
        <f>VLOOKUP(Table2[[#This Row],[Course Title]],Data!$A$1:$E$56,2,FALSE)</f>
        <v>A-493-0012</v>
      </c>
      <c r="D220" s="225">
        <f>VLOOKUP(Table2[[#This Row],[Course Title]],Data!$A$1:$E$56,3,FALSE)</f>
        <v>3682</v>
      </c>
      <c r="E220" s="224" t="s">
        <v>153</v>
      </c>
      <c r="F220" s="226">
        <v>45404</v>
      </c>
      <c r="G220" s="226">
        <v>45408</v>
      </c>
      <c r="H220" s="227">
        <v>0.33333333333333331</v>
      </c>
      <c r="I220" s="227"/>
      <c r="J220" s="227"/>
      <c r="K220" s="227"/>
      <c r="L220" s="227"/>
      <c r="M220" s="227"/>
      <c r="N220" s="226"/>
      <c r="O220" s="213" t="e">
        <v>#REF!</v>
      </c>
      <c r="P220" s="213" t="e">
        <v>#REF!</v>
      </c>
      <c r="Q220" s="214"/>
      <c r="R220" s="215"/>
      <c r="S220" s="215"/>
      <c r="T220" s="228">
        <f>VLOOKUP(Table2[[#This Row],[Course Title]],Data!$A$1:$E$56,4,FALSE)</f>
        <v>40</v>
      </c>
      <c r="U220" s="228">
        <f>VLOOKUP(Table2[[#This Row],[Course Title]],Data!$A$1:$E$56,5,FALSE)</f>
        <v>5</v>
      </c>
      <c r="V220" s="228"/>
      <c r="W220" s="218"/>
      <c r="X220" s="228"/>
      <c r="Y220" s="228"/>
      <c r="Z220" s="228"/>
      <c r="AA220" s="229">
        <f ca="1">Table2[[#This Row],[End Date]]+2-TODAY()</f>
        <v>11</v>
      </c>
      <c r="AB220" s="228">
        <f>IF(ISBLANK(#REF!),1,0)</f>
        <v>0</v>
      </c>
      <c r="AC220" s="228">
        <f ca="1">IF(Table2[[#This Row],[Start Date]]&gt;TODAY(),1,)</f>
        <v>1</v>
      </c>
    </row>
    <row r="221" spans="1:29" s="197" customFormat="1">
      <c r="A221" s="215"/>
      <c r="B221" s="224" t="s">
        <v>14</v>
      </c>
      <c r="C221" s="225" t="str">
        <f>VLOOKUP(Table2[[#This Row],[Course Title]],Data!$A$1:$E$56,2,FALSE)</f>
        <v>A-493-0030</v>
      </c>
      <c r="D221" s="225" t="str">
        <f>VLOOKUP(Table2[[#This Row],[Course Title]],Data!$A$1:$E$56,3,FALSE)</f>
        <v>286X</v>
      </c>
      <c r="E221" s="224" t="s">
        <v>104</v>
      </c>
      <c r="F221" s="226">
        <v>45404</v>
      </c>
      <c r="G221" s="226">
        <v>45408</v>
      </c>
      <c r="H221" s="227">
        <v>0.33333333333333331</v>
      </c>
      <c r="I221" s="227"/>
      <c r="J221" s="226"/>
      <c r="K221" s="226"/>
      <c r="L221" s="226"/>
      <c r="M221" s="226"/>
      <c r="N221" s="226"/>
      <c r="O221" s="218" t="e">
        <v>#REF!</v>
      </c>
      <c r="P221" s="213" t="e">
        <v>#REF!</v>
      </c>
      <c r="Q221" s="218"/>
      <c r="R221" s="215"/>
      <c r="S221" s="215"/>
      <c r="T221" s="228">
        <f>VLOOKUP(Table2[[#This Row],[Course Title]],Data!$A$1:$E$56,4,FALSE)</f>
        <v>25</v>
      </c>
      <c r="U221" s="228">
        <f>VLOOKUP(Table2[[#This Row],[Course Title]],Data!$A$1:$E$56,5,FALSE)</f>
        <v>5</v>
      </c>
      <c r="V221" s="228"/>
      <c r="W221" s="218"/>
      <c r="X221" s="228"/>
      <c r="Y221" s="228"/>
      <c r="Z221" s="228"/>
      <c r="AA221" s="229">
        <f ca="1">Table2[[#This Row],[End Date]]+2-TODAY()</f>
        <v>11</v>
      </c>
      <c r="AB221" s="228">
        <f>IF(ISBLANK(#REF!),1,0)</f>
        <v>0</v>
      </c>
      <c r="AC221" s="228">
        <f ca="1">IF(Table2[[#This Row],[Start Date]]&gt;TODAY(),1,)</f>
        <v>1</v>
      </c>
    </row>
    <row r="222" spans="1:29" s="197" customFormat="1">
      <c r="A222" s="215" t="s">
        <v>479</v>
      </c>
      <c r="B222" s="224" t="s">
        <v>15</v>
      </c>
      <c r="C222" s="225" t="str">
        <f>VLOOKUP(Table2[[#This Row],[Course Title]],Data!$A$1:$E$56,2,FALSE)</f>
        <v>A-493-0021</v>
      </c>
      <c r="D222" s="225" t="str">
        <f>VLOOKUP(Table2[[#This Row],[Course Title]],Data!$A$1:$E$56,3,FALSE)</f>
        <v>18BN</v>
      </c>
      <c r="E222" s="224" t="s">
        <v>150</v>
      </c>
      <c r="F222" s="226">
        <v>45404</v>
      </c>
      <c r="G222" s="226">
        <v>45408</v>
      </c>
      <c r="H222" s="227">
        <v>0.33333333333333331</v>
      </c>
      <c r="I222" s="227"/>
      <c r="J222" s="226"/>
      <c r="K222" s="226"/>
      <c r="L222" s="226"/>
      <c r="M222" s="226"/>
      <c r="N222" s="226"/>
      <c r="O222" s="213" t="e">
        <v>#REF!</v>
      </c>
      <c r="P222" s="213" t="e">
        <v>#REF!</v>
      </c>
      <c r="Q222" s="229"/>
      <c r="R222" s="215"/>
      <c r="S222" s="224"/>
      <c r="T222" s="228">
        <f>VLOOKUP(Table2[[#This Row],[Course Title]],Data!$A$1:$E$56,4,FALSE)</f>
        <v>35</v>
      </c>
      <c r="U222" s="228">
        <f>VLOOKUP(Table2[[#This Row],[Course Title]],Data!$A$1:$E$56,5,FALSE)</f>
        <v>5</v>
      </c>
      <c r="V222" s="228"/>
      <c r="W222" s="218"/>
      <c r="X222" s="228"/>
      <c r="Y222" s="228"/>
      <c r="Z222" s="228"/>
      <c r="AA222" s="229">
        <f ca="1">Table2[[#This Row],[End Date]]+2-TODAY()</f>
        <v>11</v>
      </c>
      <c r="AB222" s="228">
        <f>IF(ISBLANK(#REF!),1,0)</f>
        <v>0</v>
      </c>
      <c r="AC222" s="228">
        <f ca="1">IF(Table2[[#This Row],[Start Date]]&gt;TODAY(),1,)</f>
        <v>1</v>
      </c>
    </row>
    <row r="223" spans="1:29" s="197" customFormat="1">
      <c r="A223" s="215"/>
      <c r="B223" s="224" t="s">
        <v>284</v>
      </c>
      <c r="C223" s="225" t="str">
        <f>VLOOKUP(Table2[[#This Row],[Course Title]],Data!$A$1:$E$56,2,FALSE)</f>
        <v>A-493-0073</v>
      </c>
      <c r="D223" s="225" t="str">
        <f>VLOOKUP(Table2[[#This Row],[Course Title]],Data!$A$1:$E$56,3,FALSE)</f>
        <v>714S</v>
      </c>
      <c r="E223" s="224" t="s">
        <v>116</v>
      </c>
      <c r="F223" s="226">
        <v>45405</v>
      </c>
      <c r="G223" s="226">
        <v>45408</v>
      </c>
      <c r="H223" s="226"/>
      <c r="I223" s="244">
        <v>0.54166666666666663</v>
      </c>
      <c r="J223" s="244">
        <v>0.41666666666666669</v>
      </c>
      <c r="K223" s="244">
        <v>0.83333333333333337</v>
      </c>
      <c r="L223" s="244">
        <v>0.75</v>
      </c>
      <c r="M223" s="244">
        <v>0.29166666666666669</v>
      </c>
      <c r="N223" s="244">
        <v>8.3333333333333329E-2</v>
      </c>
      <c r="O223" s="213" t="e">
        <v>#REF!</v>
      </c>
      <c r="P223" s="213" t="e">
        <v>#REF!</v>
      </c>
      <c r="Q223" s="214"/>
      <c r="R223" s="215"/>
      <c r="S223" s="215"/>
      <c r="T223" s="228">
        <f>VLOOKUP(Table2[[#This Row],[Course Title]],Data!$A$1:$E$56,4,FALSE)</f>
        <v>30</v>
      </c>
      <c r="U223" s="228">
        <f>VLOOKUP(Table2[[#This Row],[Course Title]],Data!$A$1:$E$56,5,FALSE)</f>
        <v>4</v>
      </c>
      <c r="V223" s="228"/>
      <c r="W223" s="218"/>
      <c r="X223" s="228"/>
      <c r="Y223" s="228"/>
      <c r="Z223" s="228"/>
      <c r="AA223" s="229">
        <f ca="1">Table2[[#This Row],[End Date]]+2-TODAY()</f>
        <v>11</v>
      </c>
      <c r="AB223" s="228">
        <f>IF(ISBLANK(#REF!),1,0)</f>
        <v>0</v>
      </c>
      <c r="AC223" s="228">
        <f ca="1">IF(Table2[[#This Row],[Start Date]]&gt;TODAY(),1,)</f>
        <v>1</v>
      </c>
    </row>
    <row r="224" spans="1:29" s="197" customFormat="1">
      <c r="A224" s="215"/>
      <c r="B224" s="224" t="s">
        <v>270</v>
      </c>
      <c r="C224" s="225" t="str">
        <f>VLOOKUP(Table2[[#This Row],[Course Title]],Data!$A$1:$E$56,2,FALSE)</f>
        <v>A-493-0335</v>
      </c>
      <c r="D224" s="225" t="str">
        <f>VLOOKUP(Table2[[#This Row],[Course Title]],Data!$A$1:$E$56,3,FALSE)</f>
        <v>09ND</v>
      </c>
      <c r="E224" s="224" t="s">
        <v>116</v>
      </c>
      <c r="F224" s="226">
        <v>45411</v>
      </c>
      <c r="G224" s="226">
        <v>45414</v>
      </c>
      <c r="H224" s="226"/>
      <c r="I224" s="244">
        <v>0.5</v>
      </c>
      <c r="J224" s="244">
        <v>0.375</v>
      </c>
      <c r="K224" s="244">
        <v>0.79166666666666663</v>
      </c>
      <c r="L224" s="244">
        <v>0.70833333333333337</v>
      </c>
      <c r="M224" s="244">
        <v>0.25</v>
      </c>
      <c r="N224" s="244">
        <v>4.1666666666666664E-2</v>
      </c>
      <c r="O224" s="213" t="e">
        <v>#REF!</v>
      </c>
      <c r="P224" s="213" t="e">
        <v>#REF!</v>
      </c>
      <c r="Q224" s="213"/>
      <c r="R224" s="215"/>
      <c r="S224" s="215"/>
      <c r="T224" s="228">
        <f>VLOOKUP(Table2[[#This Row],[Course Title]],Data!$A$1:$E$56,4,FALSE)</f>
        <v>30</v>
      </c>
      <c r="U224" s="228">
        <f>VLOOKUP(Table2[[#This Row],[Course Title]],Data!$A$1:$E$56,5,FALSE)</f>
        <v>4</v>
      </c>
      <c r="V224" s="228"/>
      <c r="W224" s="218"/>
      <c r="X224" s="228"/>
      <c r="Y224" s="228"/>
      <c r="Z224" s="228"/>
      <c r="AA224" s="229">
        <f ca="1">Table2[[#This Row],[End Date]]+2-TODAY()</f>
        <v>17</v>
      </c>
      <c r="AB224" s="228">
        <f>IF(ISBLANK(#REF!),1,0)</f>
        <v>0</v>
      </c>
      <c r="AC224" s="228">
        <f ca="1">IF(Table2[[#This Row],[Start Date]]&gt;TODAY(),1,)</f>
        <v>1</v>
      </c>
    </row>
    <row r="225" spans="1:29" s="197" customFormat="1">
      <c r="A225" s="215"/>
      <c r="B225" s="224" t="s">
        <v>236</v>
      </c>
      <c r="C225" s="225" t="str">
        <f>VLOOKUP(Table2[[#This Row],[Course Title]],Data!$A$1:$E$56,2,FALSE)</f>
        <v>A-493-0103</v>
      </c>
      <c r="D225" s="225" t="str">
        <f>VLOOKUP(Table2[[#This Row],[Course Title]],Data!$A$1:$E$56,3,FALSE)</f>
        <v>12JY</v>
      </c>
      <c r="E225" s="232" t="s">
        <v>104</v>
      </c>
      <c r="F225" s="226">
        <v>45411</v>
      </c>
      <c r="G225" s="226">
        <v>45415</v>
      </c>
      <c r="H225" s="227">
        <v>0.33333333333333331</v>
      </c>
      <c r="I225" s="227"/>
      <c r="J225" s="226"/>
      <c r="K225" s="226"/>
      <c r="L225" s="226"/>
      <c r="M225" s="226"/>
      <c r="N225" s="226"/>
      <c r="O225" s="213" t="e">
        <v>#REF!</v>
      </c>
      <c r="P225" s="213" t="e">
        <v>#REF!</v>
      </c>
      <c r="Q225" s="214"/>
      <c r="R225" s="215"/>
      <c r="S225" s="215"/>
      <c r="T225" s="228">
        <f>VLOOKUP(Table2[[#This Row],[Course Title]],Data!$A$1:$E$56,4,FALSE)</f>
        <v>25</v>
      </c>
      <c r="U225" s="228">
        <f>VLOOKUP(Table2[[#This Row],[Course Title]],Data!$A$1:$E$56,5,FALSE)</f>
        <v>5</v>
      </c>
      <c r="V225" s="228"/>
      <c r="W225" s="218"/>
      <c r="X225" s="228"/>
      <c r="Y225" s="228"/>
      <c r="Z225" s="228"/>
      <c r="AA225" s="229">
        <f ca="1">Table2[[#This Row],[End Date]]+2-TODAY()</f>
        <v>18</v>
      </c>
      <c r="AB225" s="228">
        <f>IF(ISBLANK(#REF!),1,0)</f>
        <v>0</v>
      </c>
      <c r="AC225" s="228">
        <f ca="1">IF(Table2[[#This Row],[Start Date]]&gt;TODAY(),1,)</f>
        <v>1</v>
      </c>
    </row>
    <row r="226" spans="1:29" s="197" customFormat="1">
      <c r="A226" s="215" t="s">
        <v>432</v>
      </c>
      <c r="B226" s="224" t="s">
        <v>236</v>
      </c>
      <c r="C226" s="225" t="str">
        <f>VLOOKUP(Table2[[#This Row],[Course Title]],Data!$A$1:$E$56,2,FALSE)</f>
        <v>A-493-0103</v>
      </c>
      <c r="D226" s="225" t="str">
        <f>VLOOKUP(Table2[[#This Row],[Course Title]],Data!$A$1:$E$56,3,FALSE)</f>
        <v>12JY</v>
      </c>
      <c r="E226" s="224" t="s">
        <v>269</v>
      </c>
      <c r="F226" s="226">
        <v>45411</v>
      </c>
      <c r="G226" s="226">
        <v>45415</v>
      </c>
      <c r="H226" s="227">
        <v>0.33333333333333331</v>
      </c>
      <c r="I226" s="227"/>
      <c r="J226" s="248"/>
      <c r="K226" s="248"/>
      <c r="L226" s="248"/>
      <c r="M226" s="248"/>
      <c r="N226" s="226"/>
      <c r="O226" s="213" t="e">
        <v>#REF!</v>
      </c>
      <c r="P226" s="213" t="e">
        <v>#REF!</v>
      </c>
      <c r="Q226" s="213"/>
      <c r="R226" s="215"/>
      <c r="S226" s="215"/>
      <c r="T226" s="228">
        <f>VLOOKUP(Table2[[#This Row],[Course Title]],Data!$A$1:$E$56,4,FALSE)</f>
        <v>25</v>
      </c>
      <c r="U226" s="228">
        <f>VLOOKUP(Table2[[#This Row],[Course Title]],Data!$A$1:$E$56,5,FALSE)</f>
        <v>5</v>
      </c>
      <c r="V226" s="228"/>
      <c r="W226" s="218"/>
      <c r="X226" s="228"/>
      <c r="Y226" s="228"/>
      <c r="Z226" s="221"/>
      <c r="AA226" s="229">
        <f ca="1">Table2[[#This Row],[End Date]]+2-TODAY()</f>
        <v>18</v>
      </c>
      <c r="AB226" s="228">
        <f>IF(ISBLANK(#REF!),1,0)</f>
        <v>0</v>
      </c>
      <c r="AC226" s="228">
        <f ca="1">IF(Table2[[#This Row],[Start Date]]&gt;TODAY(),1,)</f>
        <v>1</v>
      </c>
    </row>
    <row r="227" spans="1:29" s="197" customFormat="1">
      <c r="A227" s="215"/>
      <c r="B227" s="224" t="s">
        <v>242</v>
      </c>
      <c r="C227" s="225" t="str">
        <f>VLOOKUP(Table2[[#This Row],[Course Title]],Data!$A$1:$E$56,2,FALSE)</f>
        <v>A-493-0061</v>
      </c>
      <c r="D227" s="225" t="str">
        <f>VLOOKUP(Table2[[#This Row],[Course Title]],Data!$A$1:$E$56,3,FALSE)</f>
        <v>288E</v>
      </c>
      <c r="E227" s="224" t="s">
        <v>116</v>
      </c>
      <c r="F227" s="226">
        <v>45411</v>
      </c>
      <c r="G227" s="226">
        <v>45415</v>
      </c>
      <c r="H227" s="226"/>
      <c r="I227" s="244">
        <v>0.29166666666666669</v>
      </c>
      <c r="J227" s="244">
        <v>0.16666666666666666</v>
      </c>
      <c r="K227" s="244">
        <v>0.58333333333333337</v>
      </c>
      <c r="L227" s="244">
        <v>0.5</v>
      </c>
      <c r="M227" s="244">
        <v>4.1666666666666664E-2</v>
      </c>
      <c r="N227" s="244">
        <v>0.83333333333333337</v>
      </c>
      <c r="O227" s="218" t="e">
        <v>#REF!</v>
      </c>
      <c r="P227" s="218" t="e">
        <v>#REF!</v>
      </c>
      <c r="Q227" s="214"/>
      <c r="R227" s="215"/>
      <c r="S227" s="215"/>
      <c r="T227" s="228">
        <f>VLOOKUP(Table2[[#This Row],[Course Title]],Data!$A$1:$E$56,4,FALSE)</f>
        <v>45</v>
      </c>
      <c r="U227" s="228">
        <f>VLOOKUP(Table2[[#This Row],[Course Title]],Data!$A$1:$E$56,5,FALSE)</f>
        <v>5</v>
      </c>
      <c r="V227" s="228"/>
      <c r="W227" s="218"/>
      <c r="X227" s="228"/>
      <c r="Y227" s="228"/>
      <c r="Z227" s="228"/>
      <c r="AA227" s="229">
        <f ca="1">Table2[[#This Row],[End Date]]+2-TODAY()</f>
        <v>18</v>
      </c>
      <c r="AB227" s="228">
        <f>IF(ISBLANK(#REF!),1,0)</f>
        <v>0</v>
      </c>
      <c r="AC227" s="228">
        <f ca="1">IF(Table2[[#This Row],[Start Date]]&gt;TODAY(),1,)</f>
        <v>1</v>
      </c>
    </row>
    <row r="228" spans="1:29" s="197" customFormat="1">
      <c r="A228" s="215"/>
      <c r="B228" s="224" t="s">
        <v>248</v>
      </c>
      <c r="C228" s="225" t="str">
        <f>VLOOKUP(Table2[[#This Row],[Course Title]],Data!$A$1:$E$56,2,FALSE)</f>
        <v>A-322-2604</v>
      </c>
      <c r="D228" s="225" t="str">
        <f>VLOOKUP(Table2[[#This Row],[Course Title]],Data!$A$1:$E$56,3,FALSE)</f>
        <v>10ZZ</v>
      </c>
      <c r="E228" s="224" t="s">
        <v>116</v>
      </c>
      <c r="F228" s="226">
        <v>45411</v>
      </c>
      <c r="G228" s="226">
        <v>45415</v>
      </c>
      <c r="H228" s="226"/>
      <c r="I228" s="244">
        <v>0.33333333333333331</v>
      </c>
      <c r="J228" s="244">
        <v>0.20833333333333334</v>
      </c>
      <c r="K228" s="244">
        <v>0.625</v>
      </c>
      <c r="L228" s="244">
        <v>0.54166666666666663</v>
      </c>
      <c r="M228" s="244">
        <v>8.3333333333333329E-2</v>
      </c>
      <c r="N228" s="244">
        <v>0.875</v>
      </c>
      <c r="O228" s="218" t="e">
        <v>#REF!</v>
      </c>
      <c r="P228" s="213" t="e">
        <v>#REF!</v>
      </c>
      <c r="Q228" s="218"/>
      <c r="R228" s="215"/>
      <c r="S228" s="215"/>
      <c r="T228" s="228">
        <f>VLOOKUP(Table2[[#This Row],[Course Title]],Data!$A$1:$E$56,4,FALSE)</f>
        <v>45</v>
      </c>
      <c r="U228" s="228">
        <f>VLOOKUP(Table2[[#This Row],[Course Title]],Data!$A$1:$E$56,5,FALSE)</f>
        <v>5</v>
      </c>
      <c r="V228" s="228"/>
      <c r="W228" s="218"/>
      <c r="X228" s="228"/>
      <c r="Y228" s="228"/>
      <c r="Z228" s="228"/>
      <c r="AA228" s="229">
        <f ca="1">Table2[[#This Row],[End Date]]+2-TODAY()</f>
        <v>18</v>
      </c>
      <c r="AB228" s="228">
        <f>IF(ISBLANK(#REF!),1,0)</f>
        <v>0</v>
      </c>
      <c r="AC228" s="228">
        <f ca="1">IF(Table2[[#This Row],[Start Date]]&gt;TODAY(),1,)</f>
        <v>1</v>
      </c>
    </row>
    <row r="229" spans="1:29" s="215" customFormat="1">
      <c r="B229" s="224" t="s">
        <v>38</v>
      </c>
      <c r="C229" s="225" t="str">
        <f>VLOOKUP(Table2[[#This Row],[Course Title]],Data!$A$1:$E$56,2,FALSE)</f>
        <v>A-493-0072</v>
      </c>
      <c r="D229" s="225" t="str">
        <f>VLOOKUP(Table2[[#This Row],[Course Title]],Data!$A$1:$E$56,3,FALSE)</f>
        <v>713U</v>
      </c>
      <c r="E229" s="232" t="s">
        <v>140</v>
      </c>
      <c r="F229" s="226">
        <v>45411</v>
      </c>
      <c r="G229" s="226">
        <v>45414</v>
      </c>
      <c r="H229" s="246">
        <v>0.33333333333333331</v>
      </c>
      <c r="I229" s="246"/>
      <c r="J229" s="226"/>
      <c r="K229" s="226"/>
      <c r="L229" s="226"/>
      <c r="M229" s="226"/>
      <c r="N229" s="226"/>
      <c r="O229" s="213" t="e">
        <v>#REF!</v>
      </c>
      <c r="P229" s="213" t="e">
        <v>#REF!</v>
      </c>
      <c r="Q229" s="213"/>
      <c r="T229" s="228">
        <f>VLOOKUP(Table2[[#This Row],[Course Title]],Data!$A$1:$E$56,4,FALSE)</f>
        <v>30</v>
      </c>
      <c r="U229" s="228">
        <f>VLOOKUP(Table2[[#This Row],[Course Title]],Data!$A$1:$E$56,5,FALSE)</f>
        <v>4</v>
      </c>
      <c r="V229" s="228"/>
      <c r="W229" s="218"/>
      <c r="X229" s="228"/>
      <c r="Y229" s="228"/>
      <c r="Z229" s="218"/>
      <c r="AA229" s="229">
        <f ca="1">Table2[[#This Row],[End Date]]+2-TODAY()</f>
        <v>17</v>
      </c>
      <c r="AB229" s="228">
        <f>IF(ISBLANK(#REF!),1,0)</f>
        <v>0</v>
      </c>
      <c r="AC229" s="228">
        <f ca="1">IF(Table2[[#This Row],[Start Date]]&gt;TODAY(),1,)</f>
        <v>1</v>
      </c>
    </row>
    <row r="230" spans="1:29" s="215" customFormat="1">
      <c r="B230" s="224" t="s">
        <v>312</v>
      </c>
      <c r="C230" s="225" t="str">
        <f>VLOOKUP(Table2[[#This Row],[Course Title]],Data!$A$1:$E$56,2,FALSE)</f>
        <v>A-493-2098</v>
      </c>
      <c r="D230" s="225" t="str">
        <f>VLOOKUP(Table2[[#This Row],[Course Title]],Data!$A$1:$E$56,3,FALSE)</f>
        <v>09WW</v>
      </c>
      <c r="E230" s="224" t="s">
        <v>116</v>
      </c>
      <c r="F230" s="226">
        <v>45411</v>
      </c>
      <c r="G230" s="226">
        <v>45415</v>
      </c>
      <c r="H230" s="226"/>
      <c r="I230" s="244">
        <v>0.54166666666666663</v>
      </c>
      <c r="J230" s="244">
        <v>0.41666666666666669</v>
      </c>
      <c r="K230" s="244">
        <v>0.83333333333333337</v>
      </c>
      <c r="L230" s="244">
        <v>0.75</v>
      </c>
      <c r="M230" s="244">
        <v>0.29166666666666669</v>
      </c>
      <c r="N230" s="244">
        <v>8.3333333333333329E-2</v>
      </c>
      <c r="O230" s="218" t="e">
        <v>#REF!</v>
      </c>
      <c r="P230" s="213" t="e">
        <v>#REF!</v>
      </c>
      <c r="Q230" s="218"/>
      <c r="T230" s="228">
        <f>VLOOKUP(Table2[[#This Row],[Course Title]],Data!$A$1:$E$56,4,FALSE)</f>
        <v>100</v>
      </c>
      <c r="U230" s="228">
        <f>VLOOKUP(Table2[[#This Row],[Course Title]],Data!$A$1:$E$56,5,FALSE)</f>
        <v>5</v>
      </c>
      <c r="V230" s="228"/>
      <c r="W230" s="218"/>
      <c r="X230" s="228"/>
      <c r="Y230" s="228"/>
      <c r="Z230" s="228"/>
      <c r="AA230" s="229">
        <f ca="1">Table2[[#This Row],[End Date]]+2-TODAY()</f>
        <v>18</v>
      </c>
      <c r="AB230" s="228">
        <f>IF(ISBLANK(#REF!),1,0)</f>
        <v>0</v>
      </c>
      <c r="AC230" s="228">
        <f ca="1">IF(Table2[[#This Row],[Start Date]]&gt;TODAY(),1,)</f>
        <v>1</v>
      </c>
    </row>
    <row r="231" spans="1:29" s="197" customFormat="1">
      <c r="A231" s="215"/>
      <c r="B231" s="224" t="s">
        <v>19</v>
      </c>
      <c r="C231" s="225" t="str">
        <f>VLOOKUP(Table2[[#This Row],[Course Title]],Data!$A$1:$E$56,2,FALSE)</f>
        <v>A-493-0099</v>
      </c>
      <c r="D231" s="225" t="str">
        <f>VLOOKUP(Table2[[#This Row],[Course Title]],Data!$A$1:$E$56,3,FALSE)</f>
        <v>12JW</v>
      </c>
      <c r="E231" s="224" t="s">
        <v>116</v>
      </c>
      <c r="F231" s="226">
        <v>45412</v>
      </c>
      <c r="G231" s="226">
        <v>45414</v>
      </c>
      <c r="H231" s="226"/>
      <c r="I231" s="244">
        <v>0.41666666666666669</v>
      </c>
      <c r="J231" s="244">
        <v>0.29166666666666669</v>
      </c>
      <c r="K231" s="244">
        <v>0.70833333333333337</v>
      </c>
      <c r="L231" s="244">
        <v>0.625</v>
      </c>
      <c r="M231" s="244">
        <v>0.16666666666666666</v>
      </c>
      <c r="N231" s="244">
        <v>0.95833333333333337</v>
      </c>
      <c r="O231" s="213" t="e">
        <v>#REF!</v>
      </c>
      <c r="P231" s="213" t="e">
        <v>#REF!</v>
      </c>
      <c r="Q231" s="214"/>
      <c r="R231" s="215"/>
      <c r="S231" s="215"/>
      <c r="T231" s="228">
        <f>VLOOKUP(Table2[[#This Row],[Course Title]],Data!$A$1:$E$56,4,FALSE)</f>
        <v>45</v>
      </c>
      <c r="U231" s="228">
        <f>VLOOKUP(Table2[[#This Row],[Course Title]],Data!$A$1:$E$56,5,FALSE)</f>
        <v>3</v>
      </c>
      <c r="V231" s="228"/>
      <c r="W231" s="218"/>
      <c r="X231" s="228"/>
      <c r="Y231" s="228"/>
      <c r="Z231" s="213"/>
      <c r="AA231" s="229">
        <f ca="1">Table2[[#This Row],[End Date]]+2-TODAY()</f>
        <v>17</v>
      </c>
      <c r="AB231" s="228">
        <f>IF(ISBLANK(#REF!),1,0)</f>
        <v>0</v>
      </c>
      <c r="AC231" s="228">
        <f ca="1">IF(Table2[[#This Row],[Start Date]]&gt;TODAY(),1,)</f>
        <v>1</v>
      </c>
    </row>
    <row r="232" spans="1:29" s="197" customFormat="1">
      <c r="A232" s="215" t="s">
        <v>486</v>
      </c>
      <c r="B232" s="224" t="s">
        <v>18</v>
      </c>
      <c r="C232" s="225" t="str">
        <f>VLOOKUP(Table2[[#This Row],[Course Title]],Data!$A$1:$E$56,2,FALSE)</f>
        <v>A-493-0013</v>
      </c>
      <c r="D232" s="225">
        <f>VLOOKUP(Table2[[#This Row],[Course Title]],Data!$A$1:$E$56,3,FALSE)</f>
        <v>3683</v>
      </c>
      <c r="E232" s="232" t="s">
        <v>258</v>
      </c>
      <c r="F232" s="226">
        <v>45413</v>
      </c>
      <c r="G232" s="226">
        <v>45415</v>
      </c>
      <c r="H232" s="227">
        <v>0.33333333333333331</v>
      </c>
      <c r="I232" s="227"/>
      <c r="J232" s="226"/>
      <c r="K232" s="226"/>
      <c r="L232" s="226"/>
      <c r="M232" s="226"/>
      <c r="N232" s="226"/>
      <c r="O232" s="218" t="e">
        <v>#REF!</v>
      </c>
      <c r="P232" s="213" t="e">
        <v>#REF!</v>
      </c>
      <c r="Q232" s="218"/>
      <c r="R232" s="215"/>
      <c r="S232" s="215"/>
      <c r="T232" s="228">
        <f>VLOOKUP(Table2[[#This Row],[Course Title]],Data!$A$1:$E$56,4,FALSE)</f>
        <v>40</v>
      </c>
      <c r="U232" s="228">
        <v>3</v>
      </c>
      <c r="V232" s="228"/>
      <c r="W232" s="218"/>
      <c r="X232" s="228"/>
      <c r="Y232" s="228"/>
      <c r="Z232" s="225"/>
      <c r="AA232" s="229">
        <f ca="1">Table2[[#This Row],[End Date]]+2-TODAY()</f>
        <v>18</v>
      </c>
      <c r="AB232" s="228">
        <f>IF(ISBLANK(#REF!),1,0)</f>
        <v>0</v>
      </c>
      <c r="AC232" s="228">
        <f ca="1">IF(Table2[[#This Row],[Start Date]]&gt;TODAY(),1,)</f>
        <v>1</v>
      </c>
    </row>
    <row r="233" spans="1:29" s="215" customFormat="1">
      <c r="B233" s="224" t="s">
        <v>17</v>
      </c>
      <c r="C233" s="225" t="str">
        <f>VLOOKUP(Table2[[#This Row],[Course Title]],Data!$A$1:$E$56,2,FALSE)</f>
        <v>A-493-0012</v>
      </c>
      <c r="D233" s="225">
        <f>VLOOKUP(Table2[[#This Row],[Course Title]],Data!$A$1:$E$56,3,FALSE)</f>
        <v>3682</v>
      </c>
      <c r="E233" s="224" t="s">
        <v>104</v>
      </c>
      <c r="F233" s="226">
        <v>45418</v>
      </c>
      <c r="G233" s="226">
        <v>45422</v>
      </c>
      <c r="H233" s="227">
        <v>0.33333333333333331</v>
      </c>
      <c r="I233" s="227"/>
      <c r="J233" s="227"/>
      <c r="K233" s="227"/>
      <c r="L233" s="227"/>
      <c r="M233" s="227"/>
      <c r="N233" s="226"/>
      <c r="O233" s="213" t="e">
        <v>#REF!</v>
      </c>
      <c r="P233" s="213" t="e">
        <v>#REF!</v>
      </c>
      <c r="Q233" s="214"/>
      <c r="T233" s="228">
        <f>VLOOKUP(Table2[[#This Row],[Course Title]],Data!$A$1:$E$56,4,FALSE)</f>
        <v>40</v>
      </c>
      <c r="U233" s="228">
        <f>VLOOKUP(Table2[[#This Row],[Course Title]],Data!$A$1:$E$56,5,FALSE)</f>
        <v>5</v>
      </c>
      <c r="V233" s="228"/>
      <c r="W233" s="218"/>
      <c r="X233" s="228"/>
      <c r="Y233" s="228"/>
      <c r="Z233" s="228"/>
      <c r="AA233" s="229">
        <f ca="1">Table2[[#This Row],[End Date]]+2-TODAY()</f>
        <v>25</v>
      </c>
      <c r="AB233" s="228">
        <f>IF(ISBLANK(#REF!),1,0)</f>
        <v>0</v>
      </c>
      <c r="AC233" s="228">
        <f ca="1">IF(Table2[[#This Row],[Start Date]]&gt;TODAY(),1,)</f>
        <v>1</v>
      </c>
    </row>
    <row r="234" spans="1:29" s="249" customFormat="1">
      <c r="A234" s="215"/>
      <c r="B234" s="224" t="s">
        <v>17</v>
      </c>
      <c r="C234" s="225" t="str">
        <f>VLOOKUP(Table2[[#This Row],[Course Title]],Data!$A$1:$E$56,2,FALSE)</f>
        <v>A-493-0012</v>
      </c>
      <c r="D234" s="225">
        <f>VLOOKUP(Table2[[#This Row],[Course Title]],Data!$A$1:$E$56,3,FALSE)</f>
        <v>3682</v>
      </c>
      <c r="E234" s="224" t="s">
        <v>166</v>
      </c>
      <c r="F234" s="226">
        <v>45418</v>
      </c>
      <c r="G234" s="226">
        <v>45422</v>
      </c>
      <c r="H234" s="227">
        <v>0.33333333333333331</v>
      </c>
      <c r="I234" s="227"/>
      <c r="J234" s="227"/>
      <c r="K234" s="227"/>
      <c r="L234" s="227"/>
      <c r="M234" s="227"/>
      <c r="N234" s="226"/>
      <c r="O234" s="213" t="e">
        <v>#REF!</v>
      </c>
      <c r="P234" s="213" t="e">
        <v>#REF!</v>
      </c>
      <c r="Q234" s="214"/>
      <c r="R234" s="215"/>
      <c r="S234" s="215"/>
      <c r="T234" s="228">
        <f>VLOOKUP(Table2[[#This Row],[Course Title]],Data!$A$1:$E$56,4,FALSE)</f>
        <v>40</v>
      </c>
      <c r="U234" s="228">
        <f>VLOOKUP(Table2[[#This Row],[Course Title]],Data!$A$1:$E$56,5,FALSE)</f>
        <v>5</v>
      </c>
      <c r="V234" s="228"/>
      <c r="W234" s="218"/>
      <c r="X234" s="228"/>
      <c r="Y234" s="228"/>
      <c r="Z234" s="228"/>
      <c r="AA234" s="229">
        <f ca="1">Table2[[#This Row],[End Date]]+2-TODAY()</f>
        <v>25</v>
      </c>
      <c r="AB234" s="228">
        <f>IF(ISBLANK(#REF!),1,0)</f>
        <v>0</v>
      </c>
      <c r="AC234" s="228">
        <f ca="1">IF(Table2[[#This Row],[Start Date]]&gt;TODAY(),1,)</f>
        <v>1</v>
      </c>
    </row>
    <row r="235" spans="1:29" s="197" customFormat="1">
      <c r="A235" s="215"/>
      <c r="B235" s="224" t="s">
        <v>215</v>
      </c>
      <c r="C235" s="225" t="str">
        <f>VLOOKUP(Table2[[#This Row],[Course Title]],Data!$A$1:$E$56,2,FALSE)</f>
        <v>A-493-0665</v>
      </c>
      <c r="D235" s="225" t="str">
        <f>VLOOKUP(Table2[[#This Row],[Course Title]],Data!$A$1:$E$56,3,FALSE)</f>
        <v>10KW</v>
      </c>
      <c r="E235" s="224" t="s">
        <v>116</v>
      </c>
      <c r="F235" s="226">
        <v>45418</v>
      </c>
      <c r="G235" s="226">
        <v>45422</v>
      </c>
      <c r="H235" s="226"/>
      <c r="I235" s="244">
        <v>0.54166666666666663</v>
      </c>
      <c r="J235" s="244">
        <v>0.41666666666666669</v>
      </c>
      <c r="K235" s="244">
        <v>0.83333333333333337</v>
      </c>
      <c r="L235" s="244">
        <v>0.75</v>
      </c>
      <c r="M235" s="244">
        <v>0.29166666666666669</v>
      </c>
      <c r="N235" s="244">
        <v>8.3333333333333329E-2</v>
      </c>
      <c r="O235" s="218" t="e">
        <v>#REF!</v>
      </c>
      <c r="P235" s="213" t="e">
        <v>#REF!</v>
      </c>
      <c r="Q235" s="218"/>
      <c r="R235" s="215"/>
      <c r="S235" s="215"/>
      <c r="T235" s="228">
        <f>VLOOKUP(Table2[[#This Row],[Course Title]],Data!$A$1:$E$56,4,FALSE)</f>
        <v>45</v>
      </c>
      <c r="U235" s="228">
        <f>VLOOKUP(Table2[[#This Row],[Course Title]],Data!$A$1:$E$56,5,FALSE)</f>
        <v>5</v>
      </c>
      <c r="V235" s="228"/>
      <c r="W235" s="218"/>
      <c r="X235" s="228"/>
      <c r="Y235" s="228"/>
      <c r="Z235" s="228"/>
      <c r="AA235" s="229">
        <f ca="1">Table2[[#This Row],[End Date]]+2-TODAY()</f>
        <v>25</v>
      </c>
      <c r="AB235" s="228">
        <f>IF(ISBLANK(#REF!),1,0)</f>
        <v>0</v>
      </c>
      <c r="AC235" s="228">
        <f ca="1">IF(Table2[[#This Row],[Start Date]]&gt;TODAY(),1,)</f>
        <v>1</v>
      </c>
    </row>
    <row r="236" spans="1:29" s="197" customFormat="1">
      <c r="A236" s="224"/>
      <c r="B236" s="224" t="s">
        <v>236</v>
      </c>
      <c r="C236" s="225" t="str">
        <f>VLOOKUP(Table2[[#This Row],[Course Title]],Data!$A$1:$E$56,2,FALSE)</f>
        <v>A-493-0103</v>
      </c>
      <c r="D236" s="225" t="str">
        <f>VLOOKUP(Table2[[#This Row],[Course Title]],Data!$A$1:$E$56,3,FALSE)</f>
        <v>12JY</v>
      </c>
      <c r="E236" s="232" t="s">
        <v>115</v>
      </c>
      <c r="F236" s="226">
        <v>45418</v>
      </c>
      <c r="G236" s="226">
        <v>45422</v>
      </c>
      <c r="H236" s="227">
        <v>0.33333333333333331</v>
      </c>
      <c r="I236" s="227"/>
      <c r="J236" s="226"/>
      <c r="K236" s="226"/>
      <c r="L236" s="226"/>
      <c r="M236" s="226"/>
      <c r="N236" s="226"/>
      <c r="O236" s="213" t="e">
        <v>#REF!</v>
      </c>
      <c r="P236" s="213" t="e">
        <v>#REF!</v>
      </c>
      <c r="Q236" s="213"/>
      <c r="R236" s="215"/>
      <c r="S236" s="215"/>
      <c r="T236" s="228">
        <f>VLOOKUP(Table2[[#This Row],[Course Title]],Data!$A$1:$E$56,4,FALSE)</f>
        <v>25</v>
      </c>
      <c r="U236" s="228">
        <f>VLOOKUP(Table2[[#This Row],[Course Title]],Data!$A$1:$E$56,5,FALSE)</f>
        <v>5</v>
      </c>
      <c r="V236" s="228"/>
      <c r="W236" s="218"/>
      <c r="X236" s="228"/>
      <c r="Y236" s="228"/>
      <c r="Z236" s="225"/>
      <c r="AA236" s="229">
        <f ca="1">Table2[[#This Row],[End Date]]+2-TODAY()</f>
        <v>25</v>
      </c>
      <c r="AB236" s="228">
        <f>IF(ISBLANK(#REF!),1,0)</f>
        <v>0</v>
      </c>
      <c r="AC236" s="228">
        <f ca="1">IF(Table2[[#This Row],[Start Date]]&gt;TODAY(),1,)</f>
        <v>1</v>
      </c>
    </row>
    <row r="237" spans="1:29" s="197" customFormat="1">
      <c r="A237" s="215"/>
      <c r="B237" s="224" t="s">
        <v>236</v>
      </c>
      <c r="C237" s="225" t="str">
        <f>VLOOKUP(Table2[[#This Row],[Course Title]],Data!$A$1:$E$56,2,FALSE)</f>
        <v>A-493-0103</v>
      </c>
      <c r="D237" s="225" t="str">
        <f>VLOOKUP(Table2[[#This Row],[Course Title]],Data!$A$1:$E$56,3,FALSE)</f>
        <v>12JY</v>
      </c>
      <c r="E237" s="224" t="s">
        <v>166</v>
      </c>
      <c r="F237" s="226">
        <v>45418</v>
      </c>
      <c r="G237" s="226">
        <v>45422</v>
      </c>
      <c r="H237" s="227">
        <v>0.33333333333333331</v>
      </c>
      <c r="I237" s="227"/>
      <c r="J237" s="226"/>
      <c r="K237" s="226"/>
      <c r="L237" s="226"/>
      <c r="M237" s="226"/>
      <c r="N237" s="226"/>
      <c r="O237" s="213" t="e">
        <v>#REF!</v>
      </c>
      <c r="P237" s="213" t="e">
        <v>#REF!</v>
      </c>
      <c r="Q237" s="214"/>
      <c r="R237" s="215"/>
      <c r="S237" s="215"/>
      <c r="T237" s="228">
        <f>VLOOKUP(Table2[[#This Row],[Course Title]],Data!$A$1:$E$56,4,FALSE)</f>
        <v>25</v>
      </c>
      <c r="U237" s="228">
        <f>VLOOKUP(Table2[[#This Row],[Course Title]],Data!$A$1:$E$56,5,FALSE)</f>
        <v>5</v>
      </c>
      <c r="V237" s="228"/>
      <c r="W237" s="218"/>
      <c r="X237" s="228"/>
      <c r="Y237" s="228"/>
      <c r="Z237" s="225"/>
      <c r="AA237" s="229">
        <f ca="1">Table2[[#This Row],[End Date]]+2-TODAY()</f>
        <v>25</v>
      </c>
      <c r="AB237" s="228">
        <f>IF(ISBLANK(#REF!),1,0)</f>
        <v>0</v>
      </c>
      <c r="AC237" s="228">
        <f ca="1">IF(Table2[[#This Row],[Start Date]]&gt;TODAY(),1,)</f>
        <v>1</v>
      </c>
    </row>
    <row r="238" spans="1:29" s="197" customFormat="1">
      <c r="A238" s="215"/>
      <c r="B238" s="224" t="s">
        <v>14</v>
      </c>
      <c r="C238" s="225" t="str">
        <f>VLOOKUP(Table2[[#This Row],[Course Title]],Data!$A$1:$E$56,2,FALSE)</f>
        <v>A-493-0030</v>
      </c>
      <c r="D238" s="225" t="str">
        <f>VLOOKUP(Table2[[#This Row],[Course Title]],Data!$A$1:$E$56,3,FALSE)</f>
        <v>286X</v>
      </c>
      <c r="E238" s="224" t="s">
        <v>116</v>
      </c>
      <c r="F238" s="226">
        <v>45418</v>
      </c>
      <c r="G238" s="226">
        <v>45422</v>
      </c>
      <c r="H238" s="226"/>
      <c r="I238" s="244">
        <v>0.33333333333333331</v>
      </c>
      <c r="J238" s="244">
        <v>0.20833333333333334</v>
      </c>
      <c r="K238" s="244">
        <v>0.625</v>
      </c>
      <c r="L238" s="244">
        <v>0.54166666666666663</v>
      </c>
      <c r="M238" s="244">
        <v>8.3333333333333329E-2</v>
      </c>
      <c r="N238" s="244">
        <v>0.875</v>
      </c>
      <c r="O238" s="213" t="e">
        <v>#REF!</v>
      </c>
      <c r="P238" s="213" t="e">
        <v>#REF!</v>
      </c>
      <c r="Q238" s="214"/>
      <c r="R238" s="215"/>
      <c r="S238" s="215"/>
      <c r="T238" s="228">
        <f>VLOOKUP(Table2[[#This Row],[Course Title]],Data!$A$1:$E$56,4,FALSE)</f>
        <v>25</v>
      </c>
      <c r="U238" s="228">
        <f>VLOOKUP(Table2[[#This Row],[Course Title]],Data!$A$1:$E$56,5,FALSE)</f>
        <v>5</v>
      </c>
      <c r="V238" s="228"/>
      <c r="W238" s="218"/>
      <c r="X238" s="228"/>
      <c r="Y238" s="228"/>
      <c r="Z238" s="228"/>
      <c r="AA238" s="229">
        <f ca="1">Table2[[#This Row],[End Date]]+2-TODAY()</f>
        <v>25</v>
      </c>
      <c r="AB238" s="228">
        <f>IF(ISBLANK(#REF!),1,0)</f>
        <v>0</v>
      </c>
      <c r="AC238" s="228">
        <f ca="1">IF(Table2[[#This Row],[Start Date]]&gt;TODAY(),1,)</f>
        <v>1</v>
      </c>
    </row>
    <row r="239" spans="1:29" s="197" customFormat="1">
      <c r="A239" s="215"/>
      <c r="B239" s="224" t="s">
        <v>242</v>
      </c>
      <c r="C239" s="225" t="str">
        <f>VLOOKUP(Table2[[#This Row],[Course Title]],Data!$A$1:$E$56,2,FALSE)</f>
        <v>A-493-0061</v>
      </c>
      <c r="D239" s="225" t="str">
        <f>VLOOKUP(Table2[[#This Row],[Course Title]],Data!$A$1:$E$56,3,FALSE)</f>
        <v>288E</v>
      </c>
      <c r="E239" s="224" t="s">
        <v>116</v>
      </c>
      <c r="F239" s="226">
        <v>45418</v>
      </c>
      <c r="G239" s="226">
        <v>45422</v>
      </c>
      <c r="H239" s="226"/>
      <c r="I239" s="244">
        <v>0.54166666666666663</v>
      </c>
      <c r="J239" s="244">
        <v>0.41666666666666669</v>
      </c>
      <c r="K239" s="244">
        <v>0.83333333333333337</v>
      </c>
      <c r="L239" s="244">
        <v>0.75</v>
      </c>
      <c r="M239" s="244">
        <v>0.29166666666666669</v>
      </c>
      <c r="N239" s="244">
        <v>8.3333333333333329E-2</v>
      </c>
      <c r="O239" s="213" t="e">
        <v>#REF!</v>
      </c>
      <c r="P239" s="213" t="e">
        <v>#REF!</v>
      </c>
      <c r="Q239" s="214"/>
      <c r="R239" s="215"/>
      <c r="S239" s="215"/>
      <c r="T239" s="228">
        <f>VLOOKUP(Table2[[#This Row],[Course Title]],Data!$A$1:$E$56,4,FALSE)</f>
        <v>45</v>
      </c>
      <c r="U239" s="228">
        <f>VLOOKUP(Table2[[#This Row],[Course Title]],Data!$A$1:$E$56,5,FALSE)</f>
        <v>5</v>
      </c>
      <c r="V239" s="228"/>
      <c r="W239" s="218"/>
      <c r="X239" s="228"/>
      <c r="Y239" s="228"/>
      <c r="Z239" s="228"/>
      <c r="AA239" s="229">
        <f ca="1">Table2[[#This Row],[End Date]]+2-TODAY()</f>
        <v>25</v>
      </c>
      <c r="AB239" s="228">
        <f>IF(ISBLANK(#REF!),1,0)</f>
        <v>0</v>
      </c>
      <c r="AC239" s="228">
        <f ca="1">IF(Table2[[#This Row],[Start Date]]&gt;TODAY(),1,)</f>
        <v>1</v>
      </c>
    </row>
    <row r="240" spans="1:29" s="197" customFormat="1">
      <c r="A240" s="215"/>
      <c r="B240" s="224" t="s">
        <v>276</v>
      </c>
      <c r="C240" s="225" t="str">
        <f>VLOOKUP(Table2[[#This Row],[Course Title]],Data!$A$1:$E$56,2,FALSE)</f>
        <v>A-493-0550</v>
      </c>
      <c r="D240" s="225" t="str">
        <f>VLOOKUP(Table2[[#This Row],[Course Title]],Data!$A$1:$E$56,3,FALSE)</f>
        <v>09K5</v>
      </c>
      <c r="E240" s="224" t="s">
        <v>116</v>
      </c>
      <c r="F240" s="226">
        <v>45418</v>
      </c>
      <c r="G240" s="226">
        <v>45422</v>
      </c>
      <c r="H240" s="226"/>
      <c r="I240" s="244">
        <v>0.33333333333333331</v>
      </c>
      <c r="J240" s="244">
        <v>0.20833333333333334</v>
      </c>
      <c r="K240" s="244">
        <v>0.625</v>
      </c>
      <c r="L240" s="244">
        <v>0.54166666666666663</v>
      </c>
      <c r="M240" s="244">
        <v>8.3333333333333329E-2</v>
      </c>
      <c r="N240" s="244">
        <v>0.875</v>
      </c>
      <c r="O240" s="213" t="e">
        <v>#REF!</v>
      </c>
      <c r="P240" s="213" t="e">
        <v>#REF!</v>
      </c>
      <c r="Q240" s="214"/>
      <c r="R240" s="215"/>
      <c r="S240" s="215"/>
      <c r="T240" s="228">
        <f>VLOOKUP(Table2[[#This Row],[Course Title]],Data!$A$1:$E$56,4,FALSE)</f>
        <v>45</v>
      </c>
      <c r="U240" s="228">
        <f>VLOOKUP(Table2[[#This Row],[Course Title]],Data!$A$1:$E$56,5,FALSE)</f>
        <v>4</v>
      </c>
      <c r="V240" s="228"/>
      <c r="W240" s="218"/>
      <c r="X240" s="228"/>
      <c r="Y240" s="228"/>
      <c r="Z240" s="228"/>
      <c r="AA240" s="229">
        <f ca="1">Table2[[#This Row],[End Date]]+2-TODAY()</f>
        <v>25</v>
      </c>
      <c r="AB240" s="228">
        <f>IF(ISBLANK(#REF!),1,0)</f>
        <v>0</v>
      </c>
      <c r="AC240" s="228">
        <f ca="1">IF(Table2[[#This Row],[Start Date]]&gt;TODAY(),1,)</f>
        <v>1</v>
      </c>
    </row>
    <row r="241" spans="1:29" s="197" customFormat="1">
      <c r="A241" s="215"/>
      <c r="B241" s="224" t="s">
        <v>287</v>
      </c>
      <c r="C241" s="225" t="str">
        <f>VLOOKUP(Table2[[#This Row],[Course Title]],Data!$A$1:$E$56,2,FALSE)</f>
        <v>A-493-0078</v>
      </c>
      <c r="D241" s="225">
        <f>VLOOKUP(Table2[[#This Row],[Course Title]],Data!$A$1:$E$56,3,FALSE)</f>
        <v>1228</v>
      </c>
      <c r="E241" s="224" t="s">
        <v>116</v>
      </c>
      <c r="F241" s="226">
        <v>45418</v>
      </c>
      <c r="G241" s="226">
        <v>45422</v>
      </c>
      <c r="H241" s="226"/>
      <c r="I241" s="244">
        <v>0.41666666666666669</v>
      </c>
      <c r="J241" s="244">
        <v>0.29166666666666669</v>
      </c>
      <c r="K241" s="244">
        <v>0.70833333333333337</v>
      </c>
      <c r="L241" s="244">
        <v>0.625</v>
      </c>
      <c r="M241" s="244">
        <v>0.16666666666666666</v>
      </c>
      <c r="N241" s="244">
        <v>0.95833333333333337</v>
      </c>
      <c r="O241" s="213" t="e">
        <v>#REF!</v>
      </c>
      <c r="P241" s="213" t="e">
        <v>#REF!</v>
      </c>
      <c r="Q241" s="214"/>
      <c r="R241" s="215"/>
      <c r="S241" s="215"/>
      <c r="T241" s="228">
        <f>VLOOKUP(Table2[[#This Row],[Course Title]],Data!$A$1:$E$56,4,FALSE)</f>
        <v>45</v>
      </c>
      <c r="U241" s="228">
        <f>VLOOKUP(Table2[[#This Row],[Course Title]],Data!$A$1:$E$56,5,FALSE)</f>
        <v>5</v>
      </c>
      <c r="V241" s="228"/>
      <c r="W241" s="218"/>
      <c r="X241" s="228"/>
      <c r="Y241" s="228"/>
      <c r="Z241" s="228"/>
      <c r="AA241" s="229">
        <f ca="1">Table2[[#This Row],[End Date]]+2-TODAY()</f>
        <v>25</v>
      </c>
      <c r="AB241" s="228">
        <f>IF(ISBLANK(#REF!),1,0)</f>
        <v>0</v>
      </c>
      <c r="AC241" s="228">
        <f ca="1">IF(Table2[[#This Row],[Start Date]]&gt;TODAY(),1,)</f>
        <v>1</v>
      </c>
    </row>
    <row r="242" spans="1:29" s="197" customFormat="1">
      <c r="A242" s="215"/>
      <c r="B242" s="224" t="s">
        <v>299</v>
      </c>
      <c r="C242" s="225" t="str">
        <f>VLOOKUP(Table2[[#This Row],[Course Title]],Data!$A$1:$E$56,2,FALSE)</f>
        <v>A-570-0100</v>
      </c>
      <c r="D242" s="225" t="str">
        <f>VLOOKUP(Table2[[#This Row],[Course Title]],Data!$A$1:$E$56,3,FALSE)</f>
        <v>18B7</v>
      </c>
      <c r="E242" s="224" t="s">
        <v>116</v>
      </c>
      <c r="F242" s="226">
        <v>45418</v>
      </c>
      <c r="G242" s="226">
        <v>45421</v>
      </c>
      <c r="H242" s="226"/>
      <c r="I242" s="244">
        <v>0.54166666666666663</v>
      </c>
      <c r="J242" s="244">
        <v>0.41666666666666669</v>
      </c>
      <c r="K242" s="244">
        <v>0.83333333333333337</v>
      </c>
      <c r="L242" s="244">
        <v>0.75</v>
      </c>
      <c r="M242" s="244">
        <v>0.29166666666666669</v>
      </c>
      <c r="N242" s="244">
        <v>8.3333333333333329E-2</v>
      </c>
      <c r="O242" s="218" t="e">
        <v>#REF!</v>
      </c>
      <c r="P242" s="213" t="e">
        <v>#REF!</v>
      </c>
      <c r="Q242" s="218"/>
      <c r="R242" s="215"/>
      <c r="S242" s="215"/>
      <c r="T242" s="228">
        <f>VLOOKUP(Table2[[#This Row],[Course Title]],Data!$A$1:$E$56,4,FALSE)</f>
        <v>30</v>
      </c>
      <c r="U242" s="228">
        <f>VLOOKUP(Table2[[#This Row],[Course Title]],Data!$A$1:$E$56,5,FALSE)</f>
        <v>4</v>
      </c>
      <c r="V242" s="228"/>
      <c r="W242" s="218"/>
      <c r="X242" s="228"/>
      <c r="Y242" s="228"/>
      <c r="Z242" s="228"/>
      <c r="AA242" s="229">
        <f ca="1">Table2[[#This Row],[End Date]]+2-TODAY()</f>
        <v>24</v>
      </c>
      <c r="AB242" s="228">
        <f>IF(ISBLANK(#REF!),1,0)</f>
        <v>0</v>
      </c>
      <c r="AC242" s="228">
        <f ca="1">IF(Table2[[#This Row],[Start Date]]&gt;TODAY(),1,)</f>
        <v>1</v>
      </c>
    </row>
    <row r="243" spans="1:29" s="197" customFormat="1">
      <c r="A243" s="215"/>
      <c r="B243" s="224" t="s">
        <v>24</v>
      </c>
      <c r="C243" s="225" t="str">
        <f>VLOOKUP(Table2[[#This Row],[Course Title]],Data!$A$1:$E$56,2,FALSE)</f>
        <v>A-493-0083</v>
      </c>
      <c r="D243" s="225" t="str">
        <f>VLOOKUP(Table2[[#This Row],[Course Title]],Data!$A$1:$E$56,3,FALSE)</f>
        <v>339E</v>
      </c>
      <c r="E243" s="224" t="s">
        <v>116</v>
      </c>
      <c r="F243" s="226">
        <v>45418</v>
      </c>
      <c r="G243" s="226">
        <v>45418</v>
      </c>
      <c r="H243" s="226"/>
      <c r="I243" s="244">
        <v>0.45833333333333331</v>
      </c>
      <c r="J243" s="244">
        <v>0.33333333333333331</v>
      </c>
      <c r="K243" s="244">
        <v>0.75</v>
      </c>
      <c r="L243" s="244">
        <v>0.66666666666666663</v>
      </c>
      <c r="M243" s="244">
        <v>0.20833333333333334</v>
      </c>
      <c r="N243" s="244">
        <v>0</v>
      </c>
      <c r="O243" s="218" t="e">
        <v>#REF!</v>
      </c>
      <c r="P243" s="213" t="e">
        <v>#REF!</v>
      </c>
      <c r="Q243" s="218"/>
      <c r="R243" s="215"/>
      <c r="S243" s="215"/>
      <c r="T243" s="228">
        <f>VLOOKUP(Table2[[#This Row],[Course Title]],Data!$A$1:$E$56,4,FALSE)</f>
        <v>30</v>
      </c>
      <c r="U243" s="228">
        <f>VLOOKUP(Table2[[#This Row],[Course Title]],Data!$A$1:$E$56,5,FALSE)</f>
        <v>1</v>
      </c>
      <c r="V243" s="228"/>
      <c r="W243" s="218"/>
      <c r="X243" s="228"/>
      <c r="Y243" s="228"/>
      <c r="Z243" s="228"/>
      <c r="AA243" s="229">
        <f ca="1">Table2[[#This Row],[End Date]]+2-TODAY()</f>
        <v>21</v>
      </c>
      <c r="AB243" s="228">
        <f>IF(ISBLANK(#REF!),1,0)</f>
        <v>0</v>
      </c>
      <c r="AC243" s="228">
        <f ca="1">IF(Table2[[#This Row],[Start Date]]&gt;TODAY(),1,)</f>
        <v>1</v>
      </c>
    </row>
    <row r="244" spans="1:29" s="197" customFormat="1">
      <c r="A244" s="215" t="s">
        <v>487</v>
      </c>
      <c r="B244" s="224" t="s">
        <v>40</v>
      </c>
      <c r="C244" s="225" t="str">
        <f>VLOOKUP(Table2[[#This Row],[Course Title]],Data!$A$1:$E$56,2,FALSE)</f>
        <v>A-493-2017</v>
      </c>
      <c r="D244" s="225" t="str">
        <f>VLOOKUP(Table2[[#This Row],[Course Title]],Data!$A$1:$E$56,3,FALSE)</f>
        <v>12x3</v>
      </c>
      <c r="E244" s="224" t="s">
        <v>336</v>
      </c>
      <c r="F244" s="226">
        <v>45418</v>
      </c>
      <c r="G244" s="226">
        <v>45422</v>
      </c>
      <c r="H244" s="246">
        <v>0.33333333333333331</v>
      </c>
      <c r="I244" s="227"/>
      <c r="J244" s="226"/>
      <c r="K244" s="226"/>
      <c r="L244" s="226"/>
      <c r="M244" s="226"/>
      <c r="N244" s="226"/>
      <c r="O244" s="218"/>
      <c r="P244" s="213"/>
      <c r="Q244" s="218"/>
      <c r="R244" s="215"/>
      <c r="S244" s="215"/>
      <c r="T244" s="218">
        <v>25</v>
      </c>
      <c r="U244" s="213">
        <v>2</v>
      </c>
      <c r="V244" s="218"/>
      <c r="W244" s="218"/>
      <c r="X244" s="228"/>
      <c r="Y244" s="228"/>
      <c r="Z244" s="228"/>
      <c r="AA244" s="229">
        <f ca="1">Table2[[#This Row],[End Date]]+2-TODAY()</f>
        <v>25</v>
      </c>
      <c r="AB244" s="228">
        <f>IF(ISBLANK(#REF!),1,0)</f>
        <v>0</v>
      </c>
      <c r="AC244" s="228">
        <f ca="1">IF(Table2[[#This Row],[Start Date]]&gt;TODAY(),1,)</f>
        <v>1</v>
      </c>
    </row>
    <row r="245" spans="1:29" s="197" customFormat="1">
      <c r="A245" s="215"/>
      <c r="B245" s="224" t="s">
        <v>266</v>
      </c>
      <c r="C245" s="225" t="str">
        <f>VLOOKUP(Table2[[#This Row],[Course Title]],Data!$A$1:$E$56,2,FALSE)</f>
        <v>A-493-0331</v>
      </c>
      <c r="D245" s="225" t="str">
        <f>VLOOKUP(Table2[[#This Row],[Course Title]],Data!$A$1:$E$56,3,FALSE)</f>
        <v>10UG</v>
      </c>
      <c r="E245" s="224" t="s">
        <v>116</v>
      </c>
      <c r="F245" s="226">
        <v>45419</v>
      </c>
      <c r="G245" s="226">
        <v>45421</v>
      </c>
      <c r="H245" s="226"/>
      <c r="I245" s="244">
        <v>0.5</v>
      </c>
      <c r="J245" s="244">
        <v>0.375</v>
      </c>
      <c r="K245" s="244">
        <v>0.79166666666666663</v>
      </c>
      <c r="L245" s="244">
        <v>0.70833333333333337</v>
      </c>
      <c r="M245" s="244">
        <v>0.25</v>
      </c>
      <c r="N245" s="244">
        <v>4.1666666666666664E-2</v>
      </c>
      <c r="O245" s="218" t="e">
        <v>#REF!</v>
      </c>
      <c r="P245" s="213" t="e">
        <v>#REF!</v>
      </c>
      <c r="Q245" s="218"/>
      <c r="R245" s="215"/>
      <c r="S245" s="215"/>
      <c r="T245" s="228">
        <f>VLOOKUP(Table2[[#This Row],[Course Title]],Data!$A$1:$E$56,4,FALSE)</f>
        <v>40</v>
      </c>
      <c r="U245" s="228">
        <f>VLOOKUP(Table2[[#This Row],[Course Title]],Data!$A$1:$E$56,5,FALSE)</f>
        <v>3</v>
      </c>
      <c r="V245" s="228"/>
      <c r="W245" s="218"/>
      <c r="X245" s="228"/>
      <c r="Y245" s="228"/>
      <c r="Z245" s="228"/>
      <c r="AA245" s="229">
        <f ca="1">Table2[[#This Row],[End Date]]+2-TODAY()</f>
        <v>24</v>
      </c>
      <c r="AB245" s="228">
        <f>IF(ISBLANK(#REF!),1,0)</f>
        <v>0</v>
      </c>
      <c r="AC245" s="228">
        <f ca="1">IF(Table2[[#This Row],[Start Date]]&gt;TODAY(),1,)</f>
        <v>1</v>
      </c>
    </row>
    <row r="246" spans="1:29" s="197" customFormat="1">
      <c r="A246" s="215" t="s">
        <v>488</v>
      </c>
      <c r="B246" s="250" t="s">
        <v>18</v>
      </c>
      <c r="C246" s="225" t="str">
        <f>VLOOKUP(Table2[[#This Row],[Course Title]],Data!$A$1:$E$56,2,FALSE)</f>
        <v>A-493-0013</v>
      </c>
      <c r="D246" s="225">
        <f>VLOOKUP(Table2[[#This Row],[Course Title]],Data!$A$1:$E$56,3,FALSE)</f>
        <v>3683</v>
      </c>
      <c r="E246" s="224" t="s">
        <v>262</v>
      </c>
      <c r="F246" s="226">
        <v>45425</v>
      </c>
      <c r="G246" s="226">
        <v>45427</v>
      </c>
      <c r="H246" s="227">
        <v>0.33333333333333331</v>
      </c>
      <c r="I246" s="227"/>
      <c r="J246" s="227"/>
      <c r="K246" s="227"/>
      <c r="L246" s="227"/>
      <c r="M246" s="227"/>
      <c r="N246" s="226"/>
      <c r="O246" s="213" t="e">
        <v>#REF!</v>
      </c>
      <c r="P246" s="213" t="e">
        <v>#REF!</v>
      </c>
      <c r="Q246" s="214"/>
      <c r="R246" s="215"/>
      <c r="S246" s="215"/>
      <c r="T246" s="228">
        <f>VLOOKUP(Table2[[#This Row],[Course Title]],Data!$A$1:$E$56,4,FALSE)</f>
        <v>40</v>
      </c>
      <c r="U246" s="228">
        <v>3</v>
      </c>
      <c r="V246" s="228"/>
      <c r="W246" s="218"/>
      <c r="X246" s="228"/>
      <c r="Y246" s="228"/>
      <c r="Z246" s="228"/>
      <c r="AA246" s="229">
        <f ca="1">Table2[[#This Row],[End Date]]+2-TODAY()</f>
        <v>30</v>
      </c>
      <c r="AB246" s="228">
        <f>IF(ISBLANK(#REF!),1,0)</f>
        <v>0</v>
      </c>
      <c r="AC246" s="228">
        <f ca="1">IF(Table2[[#This Row],[Start Date]]&gt;TODAY(),1,)</f>
        <v>1</v>
      </c>
    </row>
    <row r="247" spans="1:29" s="197" customFormat="1">
      <c r="A247" s="215"/>
      <c r="B247" s="224" t="s">
        <v>15</v>
      </c>
      <c r="C247" s="225" t="str">
        <f>VLOOKUP(Table2[[#This Row],[Course Title]],Data!$A$1:$E$56,2,FALSE)</f>
        <v>A-493-0021</v>
      </c>
      <c r="D247" s="225" t="str">
        <f>VLOOKUP(Table2[[#This Row],[Course Title]],Data!$A$1:$E$56,3,FALSE)</f>
        <v>18BN</v>
      </c>
      <c r="E247" s="224" t="s">
        <v>117</v>
      </c>
      <c r="F247" s="226">
        <v>45425</v>
      </c>
      <c r="G247" s="226">
        <v>45429</v>
      </c>
      <c r="H247" s="227">
        <v>0.33333333333333331</v>
      </c>
      <c r="I247" s="227"/>
      <c r="J247" s="226"/>
      <c r="K247" s="226"/>
      <c r="L247" s="226"/>
      <c r="M247" s="226"/>
      <c r="N247" s="226"/>
      <c r="O247" s="213" t="e">
        <v>#REF!</v>
      </c>
      <c r="P247" s="213" t="e">
        <v>#REF!</v>
      </c>
      <c r="Q247" s="214"/>
      <c r="R247" s="215"/>
      <c r="S247" s="215"/>
      <c r="T247" s="228">
        <f>VLOOKUP(Table2[[#This Row],[Course Title]],Data!$A$1:$E$56,4,FALSE)</f>
        <v>35</v>
      </c>
      <c r="U247" s="228">
        <f>VLOOKUP(Table2[[#This Row],[Course Title]],Data!$A$1:$E$56,5,FALSE)</f>
        <v>5</v>
      </c>
      <c r="V247" s="228"/>
      <c r="W247" s="218"/>
      <c r="X247" s="228"/>
      <c r="Y247" s="228"/>
      <c r="Z247" s="213"/>
      <c r="AA247" s="229">
        <f ca="1">Table2[[#This Row],[End Date]]+2-TODAY()</f>
        <v>32</v>
      </c>
      <c r="AB247" s="228">
        <f>IF(ISBLANK(#REF!),1,0)</f>
        <v>0</v>
      </c>
      <c r="AC247" s="228">
        <f ca="1">IF(Table2[[#This Row],[Start Date]]&gt;TODAY(),1,)</f>
        <v>1</v>
      </c>
    </row>
    <row r="248" spans="1:29" s="197" customFormat="1">
      <c r="A248" s="215"/>
      <c r="B248" s="250" t="s">
        <v>20</v>
      </c>
      <c r="C248" s="225" t="str">
        <f>VLOOKUP(Table2[[#This Row],[Course Title]],Data!$A$1:$E$56,2,FALSE)</f>
        <v xml:space="preserve">A-493-0075 </v>
      </c>
      <c r="D248" s="225" t="str">
        <f>VLOOKUP(Table2[[#This Row],[Course Title]],Data!$A$1:$E$56,3,FALSE)</f>
        <v>714U</v>
      </c>
      <c r="E248" s="224" t="s">
        <v>109</v>
      </c>
      <c r="F248" s="226">
        <v>45425</v>
      </c>
      <c r="G248" s="226">
        <v>45428</v>
      </c>
      <c r="H248" s="227">
        <v>0.33333333333333331</v>
      </c>
      <c r="I248" s="227"/>
      <c r="J248" s="226"/>
      <c r="K248" s="226"/>
      <c r="L248" s="226"/>
      <c r="M248" s="226"/>
      <c r="N248" s="226"/>
      <c r="O248" s="213" t="e">
        <v>#REF!</v>
      </c>
      <c r="P248" s="213" t="e">
        <v>#REF!</v>
      </c>
      <c r="Q248" s="214"/>
      <c r="R248" s="215"/>
      <c r="S248" s="215"/>
      <c r="T248" s="228">
        <f>VLOOKUP(Table2[[#This Row],[Course Title]],Data!$A$1:$E$56,4,FALSE)</f>
        <v>30</v>
      </c>
      <c r="U248" s="228">
        <f>VLOOKUP(Table2[[#This Row],[Course Title]],Data!$A$1:$E$56,5,FALSE)</f>
        <v>4</v>
      </c>
      <c r="V248" s="228"/>
      <c r="W248" s="218"/>
      <c r="X248" s="228"/>
      <c r="Y248" s="228"/>
      <c r="Z248" s="228"/>
      <c r="AA248" s="229">
        <f ca="1">Table2[[#This Row],[End Date]]+2-TODAY()</f>
        <v>31</v>
      </c>
      <c r="AB248" s="228">
        <f>IF(ISBLANK(#REF!),1,0)</f>
        <v>0</v>
      </c>
      <c r="AC248" s="228">
        <f ca="1">IF(Table2[[#This Row],[Start Date]]&gt;TODAY(),1,)</f>
        <v>1</v>
      </c>
    </row>
    <row r="249" spans="1:29" s="197" customFormat="1">
      <c r="A249" s="215"/>
      <c r="B249" s="250" t="s">
        <v>248</v>
      </c>
      <c r="C249" s="225" t="str">
        <f>VLOOKUP(Table2[[#This Row],[Course Title]],Data!$A$1:$E$56,2,FALSE)</f>
        <v>A-322-2604</v>
      </c>
      <c r="D249" s="225" t="str">
        <f>VLOOKUP(Table2[[#This Row],[Course Title]],Data!$A$1:$E$56,3,FALSE)</f>
        <v>10ZZ</v>
      </c>
      <c r="E249" s="224" t="s">
        <v>116</v>
      </c>
      <c r="F249" s="226">
        <v>45425</v>
      </c>
      <c r="G249" s="226">
        <v>45429</v>
      </c>
      <c r="H249" s="226"/>
      <c r="I249" s="244">
        <v>0.33333333333333331</v>
      </c>
      <c r="J249" s="244">
        <v>0.20833333333333334</v>
      </c>
      <c r="K249" s="244">
        <v>0.625</v>
      </c>
      <c r="L249" s="244">
        <v>0.54166666666666663</v>
      </c>
      <c r="M249" s="244">
        <v>8.3333333333333329E-2</v>
      </c>
      <c r="N249" s="244">
        <v>0.875</v>
      </c>
      <c r="O249" s="218" t="e">
        <v>#REF!</v>
      </c>
      <c r="P249" s="213" t="e">
        <v>#REF!</v>
      </c>
      <c r="Q249" s="218"/>
      <c r="R249" s="215"/>
      <c r="S249" s="215"/>
      <c r="T249" s="228">
        <f>VLOOKUP(Table2[[#This Row],[Course Title]],Data!$A$1:$E$56,4,FALSE)</f>
        <v>45</v>
      </c>
      <c r="U249" s="228">
        <f>VLOOKUP(Table2[[#This Row],[Course Title]],Data!$A$1:$E$56,5,FALSE)</f>
        <v>5</v>
      </c>
      <c r="V249" s="228"/>
      <c r="W249" s="218"/>
      <c r="X249" s="228"/>
      <c r="Y249" s="228"/>
      <c r="Z249" s="228"/>
      <c r="AA249" s="229">
        <f ca="1">Table2[[#This Row],[End Date]]+2-TODAY()</f>
        <v>32</v>
      </c>
      <c r="AB249" s="228">
        <f>IF(ISBLANK(#REF!),1,0)</f>
        <v>0</v>
      </c>
      <c r="AC249" s="228">
        <f ca="1">IF(Table2[[#This Row],[Start Date]]&gt;TODAY(),1,)</f>
        <v>1</v>
      </c>
    </row>
    <row r="250" spans="1:29" s="197" customFormat="1">
      <c r="A250" s="215"/>
      <c r="B250" s="250" t="s">
        <v>38</v>
      </c>
      <c r="C250" s="225" t="str">
        <f>VLOOKUP(Table2[[#This Row],[Course Title]],Data!$A$1:$E$56,2,FALSE)</f>
        <v>A-493-0072</v>
      </c>
      <c r="D250" s="225" t="str">
        <f>VLOOKUP(Table2[[#This Row],[Course Title]],Data!$A$1:$E$56,3,FALSE)</f>
        <v>713U</v>
      </c>
      <c r="E250" s="224" t="s">
        <v>102</v>
      </c>
      <c r="F250" s="226">
        <v>45425</v>
      </c>
      <c r="G250" s="226">
        <v>45428</v>
      </c>
      <c r="H250" s="246">
        <v>0.33333333333333331</v>
      </c>
      <c r="I250" s="246"/>
      <c r="J250" s="226"/>
      <c r="K250" s="226"/>
      <c r="L250" s="226"/>
      <c r="M250" s="226"/>
      <c r="N250" s="226"/>
      <c r="O250" s="218" t="e">
        <v>#REF!</v>
      </c>
      <c r="P250" s="218" t="e">
        <v>#REF!</v>
      </c>
      <c r="Q250" s="214"/>
      <c r="R250" s="215"/>
      <c r="S250" s="215"/>
      <c r="T250" s="228">
        <f>VLOOKUP(Table2[[#This Row],[Course Title]],Data!$A$1:$E$56,4,FALSE)</f>
        <v>30</v>
      </c>
      <c r="U250" s="228">
        <f>VLOOKUP(Table2[[#This Row],[Course Title]],Data!$A$1:$E$56,5,FALSE)</f>
        <v>4</v>
      </c>
      <c r="V250" s="228"/>
      <c r="W250" s="218"/>
      <c r="X250" s="228"/>
      <c r="Y250" s="228"/>
      <c r="Z250" s="228"/>
      <c r="AA250" s="229">
        <f ca="1">Table2[[#This Row],[End Date]]+2-TODAY()</f>
        <v>31</v>
      </c>
      <c r="AB250" s="228">
        <f>IF(ISBLANK(#REF!),1,0)</f>
        <v>0</v>
      </c>
      <c r="AC250" s="228">
        <f ca="1">IF(Table2[[#This Row],[Start Date]]&gt;TODAY(),1,)</f>
        <v>1</v>
      </c>
    </row>
    <row r="251" spans="1:29" s="197" customFormat="1">
      <c r="A251" s="215"/>
      <c r="B251" s="224" t="s">
        <v>312</v>
      </c>
      <c r="C251" s="225" t="str">
        <f>VLOOKUP(Table2[[#This Row],[Course Title]],Data!$A$1:$E$56,2,FALSE)</f>
        <v>A-493-2098</v>
      </c>
      <c r="D251" s="225" t="str">
        <f>VLOOKUP(Table2[[#This Row],[Course Title]],Data!$A$1:$E$56,3,FALSE)</f>
        <v>09WW</v>
      </c>
      <c r="E251" s="224" t="s">
        <v>116</v>
      </c>
      <c r="F251" s="226">
        <v>45425</v>
      </c>
      <c r="G251" s="226">
        <v>45429</v>
      </c>
      <c r="H251" s="226"/>
      <c r="I251" s="244">
        <v>0.33333333333333331</v>
      </c>
      <c r="J251" s="244">
        <v>0.20833333333333334</v>
      </c>
      <c r="K251" s="244">
        <v>0.625</v>
      </c>
      <c r="L251" s="244">
        <v>0.54166666666666663</v>
      </c>
      <c r="M251" s="244">
        <v>8.3333333333333329E-2</v>
      </c>
      <c r="N251" s="244">
        <v>0.875</v>
      </c>
      <c r="O251" s="218" t="e">
        <v>#REF!</v>
      </c>
      <c r="P251" s="213" t="e">
        <v>#REF!</v>
      </c>
      <c r="Q251" s="218"/>
      <c r="R251" s="215"/>
      <c r="S251" s="215"/>
      <c r="T251" s="228">
        <f>VLOOKUP(Table2[[#This Row],[Course Title]],Data!$A$1:$E$56,4,FALSE)</f>
        <v>100</v>
      </c>
      <c r="U251" s="228">
        <f>VLOOKUP(Table2[[#This Row],[Course Title]],Data!$A$1:$E$56,5,FALSE)</f>
        <v>5</v>
      </c>
      <c r="V251" s="228"/>
      <c r="W251" s="218"/>
      <c r="X251" s="228"/>
      <c r="Y251" s="228"/>
      <c r="Z251" s="228"/>
      <c r="AA251" s="229">
        <f ca="1">Table2[[#This Row],[End Date]]+2-TODAY()</f>
        <v>32</v>
      </c>
      <c r="AB251" s="228">
        <f>IF(ISBLANK(#REF!),1,0)</f>
        <v>0</v>
      </c>
      <c r="AC251" s="228">
        <f ca="1">IF(Table2[[#This Row],[Start Date]]&gt;TODAY(),1,)</f>
        <v>1</v>
      </c>
    </row>
    <row r="252" spans="1:29" s="197" customFormat="1">
      <c r="A252" s="215"/>
      <c r="B252" s="251" t="s">
        <v>321</v>
      </c>
      <c r="C252" s="225" t="str">
        <f>VLOOKUP(Table2[[#This Row],[Course Title]],Data!$A$1:$E$56,2,FALSE)</f>
        <v>F-4J-0023</v>
      </c>
      <c r="D252" s="225" t="str">
        <f>VLOOKUP(Table2[[#This Row],[Course Title]],Data!$A$1:$E$56,3,FALSE)</f>
        <v>11A2</v>
      </c>
      <c r="E252" s="224" t="s">
        <v>116</v>
      </c>
      <c r="F252" s="226">
        <v>45425</v>
      </c>
      <c r="G252" s="226">
        <v>45429</v>
      </c>
      <c r="H252" s="226"/>
      <c r="I252" s="244">
        <v>0.54166666666666663</v>
      </c>
      <c r="J252" s="244">
        <v>0.41666666666666669</v>
      </c>
      <c r="K252" s="244">
        <v>0.83333333333333337</v>
      </c>
      <c r="L252" s="244">
        <v>0.75</v>
      </c>
      <c r="M252" s="244">
        <v>0.29166666666666669</v>
      </c>
      <c r="N252" s="244">
        <v>8.3333333333333329E-2</v>
      </c>
      <c r="O252" s="218" t="e">
        <v>#REF!</v>
      </c>
      <c r="P252" s="213" t="e">
        <v>#REF!</v>
      </c>
      <c r="Q252" s="218"/>
      <c r="R252" s="215"/>
      <c r="S252" s="215"/>
      <c r="T252" s="228">
        <f>VLOOKUP(Table2[[#This Row],[Course Title]],Data!$A$1:$E$56,4,FALSE)</f>
        <v>25</v>
      </c>
      <c r="U252" s="228">
        <f>VLOOKUP(Table2[[#This Row],[Course Title]],Data!$A$1:$E$56,5,FALSE)</f>
        <v>2</v>
      </c>
      <c r="V252" s="228"/>
      <c r="W252" s="218"/>
      <c r="X252" s="228"/>
      <c r="Y252" s="228"/>
      <c r="Z252" s="225"/>
      <c r="AA252" s="229">
        <f ca="1">Table2[[#This Row],[End Date]]+2-TODAY()</f>
        <v>32</v>
      </c>
      <c r="AB252" s="228">
        <f>IF(ISBLANK(#REF!),1,0)</f>
        <v>0</v>
      </c>
      <c r="AC252" s="228">
        <f ca="1">IF(Table2[[#This Row],[Start Date]]&gt;TODAY(),1,)</f>
        <v>1</v>
      </c>
    </row>
    <row r="253" spans="1:29" s="197" customFormat="1">
      <c r="A253" s="215"/>
      <c r="B253" s="250" t="s">
        <v>19</v>
      </c>
      <c r="C253" s="225" t="str">
        <f>VLOOKUP(Table2[[#This Row],[Course Title]],Data!$A$1:$E$56,2,FALSE)</f>
        <v>A-493-0099</v>
      </c>
      <c r="D253" s="225" t="str">
        <f>VLOOKUP(Table2[[#This Row],[Course Title]],Data!$A$1:$E$56,3,FALSE)</f>
        <v>12JW</v>
      </c>
      <c r="E253" s="224" t="s">
        <v>116</v>
      </c>
      <c r="F253" s="226">
        <v>45426</v>
      </c>
      <c r="G253" s="226">
        <v>45428</v>
      </c>
      <c r="H253" s="226"/>
      <c r="I253" s="244">
        <v>0.29166666666666669</v>
      </c>
      <c r="J253" s="244">
        <v>0.16666666666666666</v>
      </c>
      <c r="K253" s="244">
        <v>0.58333333333333337</v>
      </c>
      <c r="L253" s="244">
        <v>0.5</v>
      </c>
      <c r="M253" s="244">
        <v>4.1666666666666664E-2</v>
      </c>
      <c r="N253" s="244">
        <v>0.83333333333333337</v>
      </c>
      <c r="O253" s="213" t="e">
        <v>#REF!</v>
      </c>
      <c r="P253" s="213" t="e">
        <v>#REF!</v>
      </c>
      <c r="Q253" s="214"/>
      <c r="R253" s="215"/>
      <c r="S253" s="215"/>
      <c r="T253" s="228">
        <f>VLOOKUP(Table2[[#This Row],[Course Title]],Data!$A$1:$E$56,4,FALSE)</f>
        <v>45</v>
      </c>
      <c r="U253" s="228">
        <f>VLOOKUP(Table2[[#This Row],[Course Title]],Data!$A$1:$E$56,5,FALSE)</f>
        <v>3</v>
      </c>
      <c r="V253" s="228"/>
      <c r="W253" s="218"/>
      <c r="X253" s="228"/>
      <c r="Y253" s="228"/>
      <c r="Z253" s="228"/>
      <c r="AA253" s="229">
        <f ca="1">Table2[[#This Row],[End Date]]+2-TODAY()</f>
        <v>31</v>
      </c>
      <c r="AB253" s="228">
        <f>IF(ISBLANK(#REF!),1,0)</f>
        <v>0</v>
      </c>
      <c r="AC253" s="228">
        <f ca="1">IF(Table2[[#This Row],[Start Date]]&gt;TODAY(),1,)</f>
        <v>1</v>
      </c>
    </row>
    <row r="254" spans="1:29" s="197" customFormat="1">
      <c r="A254" s="215" t="s">
        <v>489</v>
      </c>
      <c r="B254" s="250" t="s">
        <v>18</v>
      </c>
      <c r="C254" s="225" t="str">
        <f>VLOOKUP(Table2[[#This Row],[Course Title]],Data!$A$1:$E$56,2,FALSE)</f>
        <v>A-493-0013</v>
      </c>
      <c r="D254" s="225">
        <f>VLOOKUP(Table2[[#This Row],[Course Title]],Data!$A$1:$E$56,3,FALSE)</f>
        <v>3683</v>
      </c>
      <c r="E254" s="224" t="s">
        <v>349</v>
      </c>
      <c r="F254" s="226">
        <v>45428</v>
      </c>
      <c r="G254" s="226">
        <v>45432</v>
      </c>
      <c r="H254" s="227">
        <v>0.33333333333333331</v>
      </c>
      <c r="I254" s="227"/>
      <c r="J254" s="227"/>
      <c r="K254" s="227"/>
      <c r="L254" s="227"/>
      <c r="M254" s="227"/>
      <c r="N254" s="226"/>
      <c r="O254" s="213" t="e">
        <v>#REF!</v>
      </c>
      <c r="P254" s="213" t="e">
        <v>#REF!</v>
      </c>
      <c r="Q254" s="214"/>
      <c r="R254" s="215"/>
      <c r="S254" s="215"/>
      <c r="T254" s="228">
        <f>VLOOKUP(Table2[[#This Row],[Course Title]],Data!$A$1:$E$56,4,FALSE)</f>
        <v>40</v>
      </c>
      <c r="U254" s="228">
        <v>3</v>
      </c>
      <c r="V254" s="228"/>
      <c r="W254" s="218"/>
      <c r="X254" s="228"/>
      <c r="Y254" s="228"/>
      <c r="Z254" s="228"/>
      <c r="AA254" s="229">
        <f ca="1">Table2[[#This Row],[End Date]]+2-TODAY()</f>
        <v>35</v>
      </c>
      <c r="AB254" s="228">
        <f>IF(ISBLANK(#REF!),1,0)</f>
        <v>0</v>
      </c>
      <c r="AC254" s="228">
        <f ca="1">IF(Table2[[#This Row],[Start Date]]&gt;TODAY(),1,)</f>
        <v>1</v>
      </c>
    </row>
    <row r="255" spans="1:29" s="215" customFormat="1">
      <c r="B255" s="250" t="s">
        <v>17</v>
      </c>
      <c r="C255" s="225" t="str">
        <f>VLOOKUP(Table2[[#This Row],[Course Title]],Data!$A$1:$E$56,2,FALSE)</f>
        <v>A-493-0012</v>
      </c>
      <c r="D255" s="225">
        <f>VLOOKUP(Table2[[#This Row],[Course Title]],Data!$A$1:$E$56,3,FALSE)</f>
        <v>3682</v>
      </c>
      <c r="E255" s="232" t="s">
        <v>341</v>
      </c>
      <c r="F255" s="239">
        <v>45432</v>
      </c>
      <c r="G255" s="226">
        <v>45436</v>
      </c>
      <c r="H255" s="227">
        <v>0.33333333333333331</v>
      </c>
      <c r="I255" s="227"/>
      <c r="J255" s="226"/>
      <c r="K255" s="226"/>
      <c r="L255" s="226"/>
      <c r="M255" s="226"/>
      <c r="N255" s="226"/>
      <c r="O255" s="218" t="e">
        <v>#REF!</v>
      </c>
      <c r="P255" s="213" t="e">
        <v>#REF!</v>
      </c>
      <c r="Q255" s="218"/>
      <c r="T255" s="228">
        <f>VLOOKUP(Table2[[#This Row],[Course Title]],Data!$A$1:$E$56,4,FALSE)</f>
        <v>40</v>
      </c>
      <c r="U255" s="228">
        <f>VLOOKUP(Table2[[#This Row],[Course Title]],Data!$A$1:$E$56,5,FALSE)</f>
        <v>5</v>
      </c>
      <c r="V255" s="228"/>
      <c r="W255" s="218"/>
      <c r="X255" s="228"/>
      <c r="Y255" s="228"/>
      <c r="Z255" s="225"/>
      <c r="AA255" s="229">
        <f ca="1">Table2[[#This Row],[End Date]]+2-TODAY()</f>
        <v>39</v>
      </c>
      <c r="AB255" s="228">
        <f>IF(ISBLANK(#REF!),1,0)</f>
        <v>0</v>
      </c>
      <c r="AC255" s="228">
        <f ca="1">IF(Table2[[#This Row],[Start Date]]&gt;TODAY(),1,)</f>
        <v>1</v>
      </c>
    </row>
    <row r="256" spans="1:29" s="197" customFormat="1">
      <c r="A256" s="215"/>
      <c r="B256" s="252" t="s">
        <v>23</v>
      </c>
      <c r="C256" s="225" t="str">
        <f>VLOOKUP(Table2[[#This Row],[Course Title]],Data!$A$1:$E$56,2,FALSE)</f>
        <v>A-493-0077</v>
      </c>
      <c r="D256" s="225" t="str">
        <f>VLOOKUP(Table2[[#This Row],[Course Title]],Data!$A$1:$E$56,3,FALSE)</f>
        <v>0381</v>
      </c>
      <c r="E256" s="253" t="s">
        <v>107</v>
      </c>
      <c r="F256" s="243">
        <v>45432</v>
      </c>
      <c r="G256" s="243">
        <v>45434</v>
      </c>
      <c r="H256" s="244">
        <v>0.33333333333333331</v>
      </c>
      <c r="I256" s="244"/>
      <c r="J256" s="226"/>
      <c r="K256" s="226"/>
      <c r="L256" s="226"/>
      <c r="M256" s="226"/>
      <c r="N256" s="226"/>
      <c r="O256" s="218" t="e">
        <v>#REF!</v>
      </c>
      <c r="P256" s="213" t="e">
        <v>#REF!</v>
      </c>
      <c r="Q256" s="218"/>
      <c r="R256" s="215"/>
      <c r="S256" s="215"/>
      <c r="T256" s="228">
        <f>VLOOKUP(Table2[[#This Row],[Course Title]],Data!$A$1:$E$56,4,FALSE)</f>
        <v>25</v>
      </c>
      <c r="U256" s="228">
        <f>VLOOKUP(Table2[[#This Row],[Course Title]],Data!$A$1:$E$56,5,FALSE)</f>
        <v>3</v>
      </c>
      <c r="V256" s="228"/>
      <c r="W256" s="218"/>
      <c r="X256" s="228"/>
      <c r="Y256" s="228"/>
      <c r="Z256" s="228"/>
      <c r="AA256" s="229">
        <f ca="1">Table2[[#This Row],[End Date]]+2-TODAY()</f>
        <v>37</v>
      </c>
      <c r="AB256" s="228">
        <f>IF(ISBLANK(#REF!),1,0)</f>
        <v>0</v>
      </c>
      <c r="AC256" s="228">
        <f ca="1">IF(Table2[[#This Row],[Start Date]]&gt;TODAY(),1,)</f>
        <v>1</v>
      </c>
    </row>
    <row r="257" spans="1:29" s="197" customFormat="1">
      <c r="A257" s="215"/>
      <c r="B257" s="250" t="s">
        <v>38</v>
      </c>
      <c r="C257" s="225" t="str">
        <f>VLOOKUP(Table2[[#This Row],[Course Title]],Data!$A$1:$E$56,2,FALSE)</f>
        <v>A-493-0072</v>
      </c>
      <c r="D257" s="225" t="str">
        <f>VLOOKUP(Table2[[#This Row],[Course Title]],Data!$A$1:$E$56,3,FALSE)</f>
        <v>713U</v>
      </c>
      <c r="E257" s="250" t="s">
        <v>153</v>
      </c>
      <c r="F257" s="245">
        <v>45432</v>
      </c>
      <c r="G257" s="245">
        <v>45435</v>
      </c>
      <c r="H257" s="246">
        <v>0.33333333333333331</v>
      </c>
      <c r="I257" s="246"/>
      <c r="J257" s="226"/>
      <c r="K257" s="226"/>
      <c r="L257" s="226"/>
      <c r="M257" s="226"/>
      <c r="N257" s="226"/>
      <c r="O257" s="213" t="e">
        <v>#REF!</v>
      </c>
      <c r="P257" s="213" t="e">
        <v>#REF!</v>
      </c>
      <c r="Q257" s="214"/>
      <c r="R257" s="215"/>
      <c r="S257" s="215"/>
      <c r="T257" s="228">
        <f>VLOOKUP(Table2[[#This Row],[Course Title]],Data!$A$1:$E$56,4,FALSE)</f>
        <v>30</v>
      </c>
      <c r="U257" s="228">
        <f>VLOOKUP(Table2[[#This Row],[Course Title]],Data!$A$1:$E$56,5,FALSE)</f>
        <v>4</v>
      </c>
      <c r="V257" s="228"/>
      <c r="W257" s="218"/>
      <c r="X257" s="228"/>
      <c r="Y257" s="228"/>
      <c r="Z257" s="228"/>
      <c r="AA257" s="229">
        <f ca="1">Table2[[#This Row],[End Date]]+2-TODAY()</f>
        <v>38</v>
      </c>
      <c r="AB257" s="228">
        <f>IF(ISBLANK(#REF!),1,0)</f>
        <v>0</v>
      </c>
      <c r="AC257" s="228">
        <f ca="1">IF(Table2[[#This Row],[Start Date]]&gt;TODAY(),1,)</f>
        <v>1</v>
      </c>
    </row>
    <row r="258" spans="1:29" s="197" customFormat="1">
      <c r="A258" s="215"/>
      <c r="B258" s="250" t="s">
        <v>184</v>
      </c>
      <c r="C258" s="225" t="str">
        <f>VLOOKUP(Table2[[#This Row],[Course Title]],Data!$A$1:$E$56,2,FALSE)</f>
        <v>A-4J-0022</v>
      </c>
      <c r="D258" s="225" t="str">
        <f>VLOOKUP(Table2[[#This Row],[Course Title]],Data!$A$1:$E$56,3,FALSE)</f>
        <v>09ER</v>
      </c>
      <c r="E258" s="250" t="s">
        <v>116</v>
      </c>
      <c r="F258" s="243">
        <v>45432</v>
      </c>
      <c r="G258" s="245">
        <v>45436</v>
      </c>
      <c r="H258" s="226"/>
      <c r="I258" s="244">
        <v>0.54166666666666663</v>
      </c>
      <c r="J258" s="244">
        <v>0.41666666666666669</v>
      </c>
      <c r="K258" s="244">
        <v>0.83333333333333337</v>
      </c>
      <c r="L258" s="244">
        <v>0.75</v>
      </c>
      <c r="M258" s="244">
        <v>0.29166666666666669</v>
      </c>
      <c r="N258" s="244">
        <v>8.3333333333333329E-2</v>
      </c>
      <c r="O258" s="218" t="e">
        <v>#REF!</v>
      </c>
      <c r="P258" s="213" t="e">
        <v>#REF!</v>
      </c>
      <c r="Q258" s="218"/>
      <c r="R258" s="215"/>
      <c r="S258" s="215"/>
      <c r="T258" s="228">
        <f>VLOOKUP(Table2[[#This Row],[Course Title]],Data!$A$1:$E$56,4,FALSE)</f>
        <v>45</v>
      </c>
      <c r="U258" s="228">
        <f>VLOOKUP(Table2[[#This Row],[Course Title]],Data!$A$1:$E$56,5,FALSE)</f>
        <v>5</v>
      </c>
      <c r="V258" s="228"/>
      <c r="W258" s="218"/>
      <c r="X258" s="228"/>
      <c r="Y258" s="228"/>
      <c r="Z258" s="228"/>
      <c r="AA258" s="229">
        <f ca="1">Table2[[#This Row],[End Date]]+2-TODAY()</f>
        <v>39</v>
      </c>
      <c r="AB258" s="228">
        <f>IF(ISBLANK(#REF!),1,0)</f>
        <v>0</v>
      </c>
      <c r="AC258" s="228">
        <f ca="1">IF(Table2[[#This Row],[Start Date]]&gt;TODAY(),1,)</f>
        <v>1</v>
      </c>
    </row>
    <row r="259" spans="1:29" s="197" customFormat="1">
      <c r="A259" s="215"/>
      <c r="B259" s="250" t="s">
        <v>14</v>
      </c>
      <c r="C259" s="225" t="str">
        <f>VLOOKUP(Table2[[#This Row],[Course Title]],Data!$A$1:$E$56,2,FALSE)</f>
        <v>A-493-0030</v>
      </c>
      <c r="D259" s="225" t="str">
        <f>VLOOKUP(Table2[[#This Row],[Course Title]],Data!$A$1:$E$56,3,FALSE)</f>
        <v>286X</v>
      </c>
      <c r="E259" s="250" t="s">
        <v>151</v>
      </c>
      <c r="F259" s="245">
        <v>45432</v>
      </c>
      <c r="G259" s="245">
        <v>45436</v>
      </c>
      <c r="H259" s="227">
        <v>0.33333333333333331</v>
      </c>
      <c r="I259" s="227"/>
      <c r="J259" s="226"/>
      <c r="K259" s="226"/>
      <c r="L259" s="226"/>
      <c r="M259" s="226"/>
      <c r="N259" s="226"/>
      <c r="O259" s="218" t="e">
        <v>#REF!</v>
      </c>
      <c r="P259" s="213" t="e">
        <v>#REF!</v>
      </c>
      <c r="Q259" s="218"/>
      <c r="R259" s="215"/>
      <c r="S259" s="215"/>
      <c r="T259" s="228">
        <f>VLOOKUP(Table2[[#This Row],[Course Title]],Data!$A$1:$E$56,4,FALSE)</f>
        <v>25</v>
      </c>
      <c r="U259" s="228">
        <f>VLOOKUP(Table2[[#This Row],[Course Title]],Data!$A$1:$E$56,5,FALSE)</f>
        <v>5</v>
      </c>
      <c r="V259" s="228"/>
      <c r="W259" s="218"/>
      <c r="X259" s="228"/>
      <c r="Y259" s="228"/>
      <c r="Z259" s="228"/>
      <c r="AA259" s="229">
        <f ca="1">Table2[[#This Row],[End Date]]+2-TODAY()</f>
        <v>39</v>
      </c>
      <c r="AB259" s="228">
        <f>IF(ISBLANK(#REF!),1,0)</f>
        <v>0</v>
      </c>
      <c r="AC259" s="228">
        <f ca="1">IF(Table2[[#This Row],[Start Date]]&gt;TODAY(),1,)</f>
        <v>1</v>
      </c>
    </row>
    <row r="260" spans="1:29" s="197" customFormat="1">
      <c r="A260" s="215"/>
      <c r="B260" s="250" t="s">
        <v>276</v>
      </c>
      <c r="C260" s="225" t="str">
        <f>VLOOKUP(Table2[[#This Row],[Course Title]],Data!$A$1:$E$56,2,FALSE)</f>
        <v>A-493-0550</v>
      </c>
      <c r="D260" s="225" t="str">
        <f>VLOOKUP(Table2[[#This Row],[Course Title]],Data!$A$1:$E$56,3,FALSE)</f>
        <v>09K5</v>
      </c>
      <c r="E260" s="250" t="s">
        <v>116</v>
      </c>
      <c r="F260" s="245">
        <v>45432</v>
      </c>
      <c r="G260" s="245">
        <v>45436</v>
      </c>
      <c r="H260" s="226"/>
      <c r="I260" s="244">
        <v>0.45833333333333331</v>
      </c>
      <c r="J260" s="244">
        <v>0.33333333333333331</v>
      </c>
      <c r="K260" s="244">
        <v>0.75</v>
      </c>
      <c r="L260" s="244">
        <v>0.66666666666666663</v>
      </c>
      <c r="M260" s="244">
        <v>0.20833333333333334</v>
      </c>
      <c r="N260" s="244">
        <v>0</v>
      </c>
      <c r="O260" s="213" t="e">
        <v>#REF!</v>
      </c>
      <c r="P260" s="213" t="e">
        <v>#REF!</v>
      </c>
      <c r="Q260" s="214"/>
      <c r="R260" s="215"/>
      <c r="S260" s="215"/>
      <c r="T260" s="228">
        <f>VLOOKUP(Table2[[#This Row],[Course Title]],Data!$A$1:$E$56,4,FALSE)</f>
        <v>45</v>
      </c>
      <c r="U260" s="228">
        <f>VLOOKUP(Table2[[#This Row],[Course Title]],Data!$A$1:$E$56,5,FALSE)</f>
        <v>4</v>
      </c>
      <c r="V260" s="228"/>
      <c r="W260" s="218"/>
      <c r="X260" s="228"/>
      <c r="Y260" s="228"/>
      <c r="Z260" s="228"/>
      <c r="AA260" s="229">
        <f ca="1">Table2[[#This Row],[End Date]]+2-TODAY()</f>
        <v>39</v>
      </c>
      <c r="AB260" s="228">
        <f>IF(ISBLANK(#REF!),1,0)</f>
        <v>0</v>
      </c>
      <c r="AC260" s="228">
        <f ca="1">IF(Table2[[#This Row],[Start Date]]&gt;TODAY(),1,)</f>
        <v>1</v>
      </c>
    </row>
    <row r="261" spans="1:29" s="197" customFormat="1">
      <c r="A261" s="215"/>
      <c r="B261" s="250" t="s">
        <v>284</v>
      </c>
      <c r="C261" s="225" t="str">
        <f>VLOOKUP(Table2[[#This Row],[Course Title]],Data!$A$1:$E$56,2,FALSE)</f>
        <v>A-493-0073</v>
      </c>
      <c r="D261" s="225" t="str">
        <f>VLOOKUP(Table2[[#This Row],[Course Title]],Data!$A$1:$E$56,3,FALSE)</f>
        <v>714S</v>
      </c>
      <c r="E261" s="250" t="s">
        <v>116</v>
      </c>
      <c r="F261" s="245">
        <v>45432</v>
      </c>
      <c r="G261" s="245">
        <v>45435</v>
      </c>
      <c r="H261" s="226"/>
      <c r="I261" s="244">
        <v>0.45833333333333331</v>
      </c>
      <c r="J261" s="244">
        <v>0.33333333333333331</v>
      </c>
      <c r="K261" s="244">
        <v>0.75</v>
      </c>
      <c r="L261" s="244">
        <v>0.66666666666666663</v>
      </c>
      <c r="M261" s="244">
        <v>0.20833333333333334</v>
      </c>
      <c r="N261" s="244">
        <v>0</v>
      </c>
      <c r="O261" s="213" t="e">
        <v>#REF!</v>
      </c>
      <c r="P261" s="213" t="e">
        <v>#REF!</v>
      </c>
      <c r="Q261" s="214"/>
      <c r="R261" s="215"/>
      <c r="S261" s="215"/>
      <c r="T261" s="228">
        <f>VLOOKUP(Table2[[#This Row],[Course Title]],Data!$A$1:$E$56,4,FALSE)</f>
        <v>30</v>
      </c>
      <c r="U261" s="228">
        <f>VLOOKUP(Table2[[#This Row],[Course Title]],Data!$A$1:$E$56,5,FALSE)</f>
        <v>4</v>
      </c>
      <c r="V261" s="228"/>
      <c r="W261" s="218"/>
      <c r="X261" s="228"/>
      <c r="Y261" s="228"/>
      <c r="Z261" s="225"/>
      <c r="AA261" s="229">
        <f ca="1">Table2[[#This Row],[End Date]]+2-TODAY()</f>
        <v>38</v>
      </c>
      <c r="AB261" s="228">
        <f>IF(ISBLANK(#REF!),1,0)</f>
        <v>0</v>
      </c>
      <c r="AC261" s="228">
        <f ca="1">IF(Table2[[#This Row],[Start Date]]&gt;TODAY(),1,)</f>
        <v>1</v>
      </c>
    </row>
    <row r="262" spans="1:29" s="197" customFormat="1">
      <c r="A262" s="215"/>
      <c r="B262" s="250" t="s">
        <v>287</v>
      </c>
      <c r="C262" s="225" t="str">
        <f>VLOOKUP(Table2[[#This Row],[Course Title]],Data!$A$1:$E$56,2,FALSE)</f>
        <v>A-493-0078</v>
      </c>
      <c r="D262" s="225">
        <f>VLOOKUP(Table2[[#This Row],[Course Title]],Data!$A$1:$E$56,3,FALSE)</f>
        <v>1228</v>
      </c>
      <c r="E262" s="250" t="s">
        <v>116</v>
      </c>
      <c r="F262" s="245">
        <v>45432</v>
      </c>
      <c r="G262" s="245">
        <v>45436</v>
      </c>
      <c r="H262" s="226"/>
      <c r="I262" s="244">
        <v>0.29166666666666669</v>
      </c>
      <c r="J262" s="244">
        <v>0.16666666666666666</v>
      </c>
      <c r="K262" s="244">
        <v>0.58333333333333337</v>
      </c>
      <c r="L262" s="244">
        <v>0.5</v>
      </c>
      <c r="M262" s="244">
        <v>4.1666666666666664E-2</v>
      </c>
      <c r="N262" s="244">
        <v>0.83333333333333337</v>
      </c>
      <c r="O262" s="213" t="e">
        <v>#REF!</v>
      </c>
      <c r="P262" s="213" t="e">
        <v>#REF!</v>
      </c>
      <c r="Q262" s="214"/>
      <c r="R262" s="215"/>
      <c r="S262" s="215"/>
      <c r="T262" s="228">
        <f>VLOOKUP(Table2[[#This Row],[Course Title]],Data!$A$1:$E$56,4,FALSE)</f>
        <v>45</v>
      </c>
      <c r="U262" s="228">
        <f>VLOOKUP(Table2[[#This Row],[Course Title]],Data!$A$1:$E$56,5,FALSE)</f>
        <v>5</v>
      </c>
      <c r="V262" s="228"/>
      <c r="W262" s="218"/>
      <c r="X262" s="228"/>
      <c r="Y262" s="228"/>
      <c r="Z262" s="228"/>
      <c r="AA262" s="229">
        <f ca="1">Table2[[#This Row],[End Date]]+2-TODAY()</f>
        <v>39</v>
      </c>
      <c r="AB262" s="228">
        <f>IF(ISBLANK(#REF!),1,0)</f>
        <v>0</v>
      </c>
      <c r="AC262" s="228">
        <f ca="1">IF(Table2[[#This Row],[Start Date]]&gt;TODAY(),1,)</f>
        <v>1</v>
      </c>
    </row>
    <row r="263" spans="1:29" s="197" customFormat="1">
      <c r="A263" s="232"/>
      <c r="B263" s="250" t="s">
        <v>34</v>
      </c>
      <c r="C263" s="225" t="str">
        <f>VLOOKUP(Table2[[#This Row],[Course Title]],Data!$A$1:$E$56,2,FALSE)</f>
        <v>A-493-0085</v>
      </c>
      <c r="D263" s="225">
        <f>VLOOKUP(Table2[[#This Row],[Course Title]],Data!$A$1:$E$56,3,FALSE)</f>
        <v>3555</v>
      </c>
      <c r="E263" s="250" t="s">
        <v>116</v>
      </c>
      <c r="F263" s="245">
        <v>45432</v>
      </c>
      <c r="G263" s="245">
        <v>45435</v>
      </c>
      <c r="H263" s="226"/>
      <c r="I263" s="244">
        <v>0.5</v>
      </c>
      <c r="J263" s="244">
        <v>0.375</v>
      </c>
      <c r="K263" s="244">
        <v>0.79166666666666663</v>
      </c>
      <c r="L263" s="244">
        <v>0.70833333333333337</v>
      </c>
      <c r="M263" s="244">
        <v>0.25</v>
      </c>
      <c r="N263" s="244">
        <v>4.1666666666666664E-2</v>
      </c>
      <c r="O263" s="213" t="e">
        <v>#REF!</v>
      </c>
      <c r="P263" s="213" t="e">
        <v>#REF!</v>
      </c>
      <c r="Q263" s="214"/>
      <c r="R263" s="215"/>
      <c r="S263" s="215"/>
      <c r="T263" s="228">
        <f>VLOOKUP(Table2[[#This Row],[Course Title]],Data!$A$1:$E$56,4,FALSE)</f>
        <v>30</v>
      </c>
      <c r="U263" s="228">
        <f>VLOOKUP(Table2[[#This Row],[Course Title]],Data!$A$1:$E$56,5,FALSE)</f>
        <v>4</v>
      </c>
      <c r="V263" s="228"/>
      <c r="W263" s="218"/>
      <c r="X263" s="228"/>
      <c r="Y263" s="228"/>
      <c r="Z263" s="228"/>
      <c r="AA263" s="229">
        <f ca="1">Table2[[#This Row],[End Date]]+2-TODAY()</f>
        <v>38</v>
      </c>
      <c r="AB263" s="228">
        <f>IF(ISBLANK(#REF!),1,0)</f>
        <v>0</v>
      </c>
      <c r="AC263" s="228">
        <f ca="1">IF(Table2[[#This Row],[Start Date]]&gt;TODAY(),1,)</f>
        <v>1</v>
      </c>
    </row>
    <row r="264" spans="1:29" s="197" customFormat="1">
      <c r="A264" s="215"/>
      <c r="B264" s="250" t="s">
        <v>20</v>
      </c>
      <c r="C264" s="225" t="str">
        <f>VLOOKUP(Table2[[#This Row],[Course Title]],Data!$A$1:$E$56,2,FALSE)</f>
        <v xml:space="preserve">A-493-0075 </v>
      </c>
      <c r="D264" s="225" t="str">
        <f>VLOOKUP(Table2[[#This Row],[Course Title]],Data!$A$1:$E$56,3,FALSE)</f>
        <v>714U</v>
      </c>
      <c r="E264" s="250" t="s">
        <v>103</v>
      </c>
      <c r="F264" s="245">
        <v>45433</v>
      </c>
      <c r="G264" s="245">
        <v>45436</v>
      </c>
      <c r="H264" s="244">
        <v>0.33333333333333331</v>
      </c>
      <c r="I264" s="227"/>
      <c r="J264" s="226"/>
      <c r="K264" s="226"/>
      <c r="L264" s="226"/>
      <c r="M264" s="226"/>
      <c r="N264" s="226"/>
      <c r="O264" s="218"/>
      <c r="P264" s="213"/>
      <c r="Q264" s="218"/>
      <c r="R264" s="215"/>
      <c r="S264" s="215"/>
      <c r="T264" s="218">
        <v>30</v>
      </c>
      <c r="U264" s="213">
        <v>4</v>
      </c>
      <c r="V264" s="218"/>
      <c r="W264" s="218"/>
      <c r="X264" s="228"/>
      <c r="Y264" s="228"/>
      <c r="Z264" s="228"/>
      <c r="AA264" s="229">
        <f ca="1">Table2[[#This Row],[End Date]]+2-TODAY()</f>
        <v>39</v>
      </c>
      <c r="AB264" s="228">
        <f>IF(ISBLANK(#REF!),1,0)</f>
        <v>0</v>
      </c>
      <c r="AC264" s="228">
        <f ca="1">IF(Table2[[#This Row],[Start Date]]&gt;TODAY(),1,)</f>
        <v>1</v>
      </c>
    </row>
    <row r="265" spans="1:29" s="197" customFormat="1">
      <c r="A265" s="215"/>
      <c r="B265" s="250" t="s">
        <v>24</v>
      </c>
      <c r="C265" s="225" t="str">
        <f>VLOOKUP(Table2[[#This Row],[Course Title]],Data!$A$1:$E$56,2,FALSE)</f>
        <v>A-493-0083</v>
      </c>
      <c r="D265" s="225" t="str">
        <f>VLOOKUP(Table2[[#This Row],[Course Title]],Data!$A$1:$E$56,3,FALSE)</f>
        <v>339E</v>
      </c>
      <c r="E265" s="253" t="s">
        <v>107</v>
      </c>
      <c r="F265" s="243">
        <v>45435</v>
      </c>
      <c r="G265" s="243">
        <v>45435</v>
      </c>
      <c r="H265" s="244">
        <v>0.33333333333333331</v>
      </c>
      <c r="I265" s="244"/>
      <c r="J265" s="226"/>
      <c r="K265" s="226"/>
      <c r="L265" s="226"/>
      <c r="M265" s="226"/>
      <c r="N265" s="226"/>
      <c r="O265" s="218" t="e">
        <v>#REF!</v>
      </c>
      <c r="P265" s="213" t="e">
        <v>#REF!</v>
      </c>
      <c r="Q265" s="218"/>
      <c r="R265" s="215"/>
      <c r="S265" s="215"/>
      <c r="T265" s="228">
        <f>VLOOKUP(Table2[[#This Row],[Course Title]],Data!$A$1:$E$56,4,FALSE)</f>
        <v>30</v>
      </c>
      <c r="U265" s="228">
        <f>VLOOKUP(Table2[[#This Row],[Course Title]],Data!$A$1:$E$56,5,FALSE)</f>
        <v>1</v>
      </c>
      <c r="V265" s="228"/>
      <c r="W265" s="218"/>
      <c r="X265" s="228"/>
      <c r="Y265" s="228"/>
      <c r="Z265" s="218"/>
      <c r="AA265" s="229">
        <f ca="1">Table2[[#This Row],[End Date]]+2-TODAY()</f>
        <v>38</v>
      </c>
      <c r="AB265" s="228">
        <f>IF(ISBLANK(#REF!),1,0)</f>
        <v>0</v>
      </c>
      <c r="AC265" s="228">
        <f ca="1">IF(Table2[[#This Row],[Start Date]]&gt;TODAY(),1,)</f>
        <v>1</v>
      </c>
    </row>
    <row r="266" spans="1:29" s="197" customFormat="1">
      <c r="A266" s="215" t="s">
        <v>490</v>
      </c>
      <c r="B266" s="250" t="s">
        <v>330</v>
      </c>
      <c r="C266" s="225" t="str">
        <f>VLOOKUP(Table2[[#This Row],[Course Title]],Data!$A$1:$E$56,2,FALSE)</f>
        <v>Holiday</v>
      </c>
      <c r="D266" s="225" t="str">
        <f>VLOOKUP(Table2[[#This Row],[Course Title]],Data!$A$1:$E$56,3,FALSE)</f>
        <v>Holiday</v>
      </c>
      <c r="E266" s="224"/>
      <c r="F266" s="226">
        <v>45439</v>
      </c>
      <c r="G266" s="226">
        <v>45439</v>
      </c>
      <c r="H266" s="227">
        <v>0</v>
      </c>
      <c r="I266" s="227">
        <v>0</v>
      </c>
      <c r="J266" s="227">
        <v>0</v>
      </c>
      <c r="K266" s="227">
        <v>0</v>
      </c>
      <c r="L266" s="227">
        <v>0</v>
      </c>
      <c r="M266" s="227">
        <v>0</v>
      </c>
      <c r="N266" s="227">
        <v>0</v>
      </c>
      <c r="O266" s="213" t="e">
        <v>#REF!</v>
      </c>
      <c r="P266" s="213" t="e">
        <v>#REF!</v>
      </c>
      <c r="Q266" s="214">
        <v>0</v>
      </c>
      <c r="R266" s="215">
        <v>0</v>
      </c>
      <c r="S266" s="215">
        <v>0</v>
      </c>
      <c r="T266" s="228">
        <f>VLOOKUP(Table2[[#This Row],[Course Title]],Data!$A$1:$E$56,4,FALSE)</f>
        <v>0</v>
      </c>
      <c r="U266" s="228">
        <f>VLOOKUP(Table2[[#This Row],[Course Title]],Data!$A$1:$E$56,5,FALSE)</f>
        <v>0</v>
      </c>
      <c r="V266" s="228">
        <v>0</v>
      </c>
      <c r="W266" s="218">
        <v>0</v>
      </c>
      <c r="X266" s="228">
        <v>0</v>
      </c>
      <c r="Y266" s="228">
        <v>0</v>
      </c>
      <c r="Z266" s="228">
        <v>0</v>
      </c>
      <c r="AA266" s="229">
        <f ca="1">Table2[[#This Row],[End Date]]+2-TODAY()</f>
        <v>42</v>
      </c>
      <c r="AB266" s="228">
        <f>IF(ISBLANK(#REF!),1,0)</f>
        <v>0</v>
      </c>
      <c r="AC266" s="228">
        <f ca="1">IF(Table2[[#This Row],[Start Date]]&gt;TODAY(),1,)</f>
        <v>1</v>
      </c>
    </row>
    <row r="267" spans="1:29" s="215" customFormat="1">
      <c r="B267" s="254" t="s">
        <v>266</v>
      </c>
      <c r="C267" s="225" t="str">
        <f>VLOOKUP(Table2[[#This Row],[Course Title]],Data!$A$1:$E$56,2,FALSE)</f>
        <v>A-493-0331</v>
      </c>
      <c r="D267" s="225" t="str">
        <f>VLOOKUP(Table2[[#This Row],[Course Title]],Data!$A$1:$E$56,3,FALSE)</f>
        <v>10UG</v>
      </c>
      <c r="E267" s="224" t="s">
        <v>116</v>
      </c>
      <c r="F267" s="226">
        <v>45440</v>
      </c>
      <c r="G267" s="226">
        <v>45442</v>
      </c>
      <c r="H267" s="226"/>
      <c r="I267" s="244">
        <v>0.5</v>
      </c>
      <c r="J267" s="244">
        <v>0.375</v>
      </c>
      <c r="K267" s="244">
        <v>0.79166666666666663</v>
      </c>
      <c r="L267" s="244">
        <v>0.70833333333333337</v>
      </c>
      <c r="M267" s="244">
        <v>0.25</v>
      </c>
      <c r="N267" s="244">
        <v>4.1666666666666664E-2</v>
      </c>
      <c r="O267" s="213" t="e">
        <v>#REF!</v>
      </c>
      <c r="P267" s="213" t="e">
        <v>#REF!</v>
      </c>
      <c r="Q267" s="214"/>
      <c r="T267" s="228">
        <f>VLOOKUP(Table2[[#This Row],[Course Title]],Data!$A$1:$E$56,4,FALSE)</f>
        <v>40</v>
      </c>
      <c r="U267" s="228">
        <f>VLOOKUP(Table2[[#This Row],[Course Title]],Data!$A$1:$E$56,5,FALSE)</f>
        <v>3</v>
      </c>
      <c r="V267" s="228"/>
      <c r="W267" s="218"/>
      <c r="X267" s="228"/>
      <c r="Y267" s="228"/>
      <c r="Z267" s="228"/>
      <c r="AA267" s="229">
        <f ca="1">Table2[[#This Row],[End Date]]+2-TODAY()</f>
        <v>45</v>
      </c>
      <c r="AB267" s="228">
        <f>IF(ISBLANK(#REF!),1,0)</f>
        <v>0</v>
      </c>
      <c r="AC267" s="228">
        <f ca="1">IF(Table2[[#This Row],[Start Date]]&gt;TODAY(),1,)</f>
        <v>1</v>
      </c>
    </row>
    <row r="268" spans="1:29" s="197" customFormat="1">
      <c r="A268" s="215"/>
      <c r="B268" s="254" t="s">
        <v>19</v>
      </c>
      <c r="C268" s="225" t="str">
        <f>VLOOKUP(Table2[[#This Row],[Course Title]],Data!$A$1:$E$56,2,FALSE)</f>
        <v>A-493-0099</v>
      </c>
      <c r="D268" s="225" t="str">
        <f>VLOOKUP(Table2[[#This Row],[Course Title]],Data!$A$1:$E$56,3,FALSE)</f>
        <v>12JW</v>
      </c>
      <c r="E268" s="224" t="s">
        <v>116</v>
      </c>
      <c r="F268" s="226">
        <v>45440</v>
      </c>
      <c r="G268" s="226">
        <v>45442</v>
      </c>
      <c r="H268" s="226"/>
      <c r="I268" s="244">
        <v>0.54166666666666663</v>
      </c>
      <c r="J268" s="244">
        <v>0.41666666666666669</v>
      </c>
      <c r="K268" s="244">
        <v>0.83333333333333337</v>
      </c>
      <c r="L268" s="244">
        <v>0.75</v>
      </c>
      <c r="M268" s="244">
        <v>0.29166666666666669</v>
      </c>
      <c r="N268" s="244">
        <v>8.3333333333333329E-2</v>
      </c>
      <c r="O268" s="213" t="e">
        <v>#REF!</v>
      </c>
      <c r="P268" s="213" t="e">
        <v>#REF!</v>
      </c>
      <c r="Q268" s="214"/>
      <c r="R268" s="215"/>
      <c r="S268" s="215"/>
      <c r="T268" s="228">
        <f>VLOOKUP(Table2[[#This Row],[Course Title]],Data!$A$1:$E$56,4,FALSE)</f>
        <v>45</v>
      </c>
      <c r="U268" s="228">
        <f>VLOOKUP(Table2[[#This Row],[Course Title]],Data!$A$1:$E$56,5,FALSE)</f>
        <v>3</v>
      </c>
      <c r="V268" s="228"/>
      <c r="W268" s="218"/>
      <c r="X268" s="228"/>
      <c r="Y268" s="228"/>
      <c r="Z268" s="228"/>
      <c r="AA268" s="229">
        <f ca="1">Table2[[#This Row],[End Date]]+2-TODAY()</f>
        <v>45</v>
      </c>
      <c r="AB268" s="228">
        <f>IF(ISBLANK(#REF!),1,0)</f>
        <v>0</v>
      </c>
      <c r="AC268" s="228">
        <f ca="1">IF(Table2[[#This Row],[Start Date]]&gt;TODAY(),1,)</f>
        <v>1</v>
      </c>
    </row>
    <row r="269" spans="1:29" s="215" customFormat="1">
      <c r="B269" s="250" t="s">
        <v>270</v>
      </c>
      <c r="C269" s="225" t="str">
        <f>VLOOKUP(Table2[[#This Row],[Course Title]],Data!$A$1:$E$56,2,FALSE)</f>
        <v>A-493-0335</v>
      </c>
      <c r="D269" s="225" t="str">
        <f>VLOOKUP(Table2[[#This Row],[Course Title]],Data!$A$1:$E$56,3,FALSE)</f>
        <v>09ND</v>
      </c>
      <c r="E269" s="224" t="s">
        <v>116</v>
      </c>
      <c r="F269" s="226">
        <v>45440</v>
      </c>
      <c r="G269" s="226">
        <v>45443</v>
      </c>
      <c r="H269" s="226"/>
      <c r="I269" s="244">
        <v>0.5</v>
      </c>
      <c r="J269" s="244">
        <v>0.375</v>
      </c>
      <c r="K269" s="244">
        <v>0.79166666666666663</v>
      </c>
      <c r="L269" s="244">
        <v>0.70833333333333337</v>
      </c>
      <c r="M269" s="244">
        <v>0.25</v>
      </c>
      <c r="N269" s="244">
        <v>4.1666666666666664E-2</v>
      </c>
      <c r="O269" s="213" t="e">
        <v>#REF!</v>
      </c>
      <c r="P269" s="213" t="e">
        <v>#REF!</v>
      </c>
      <c r="Q269" s="233"/>
      <c r="S269" s="224"/>
      <c r="T269" s="228">
        <f>VLOOKUP(Table2[[#This Row],[Course Title]],Data!$A$1:$E$56,4,FALSE)</f>
        <v>30</v>
      </c>
      <c r="U269" s="228">
        <f>VLOOKUP(Table2[[#This Row],[Course Title]],Data!$A$1:$E$56,5,FALSE)</f>
        <v>4</v>
      </c>
      <c r="V269" s="228"/>
      <c r="W269" s="218"/>
      <c r="X269" s="228"/>
      <c r="Y269" s="228"/>
      <c r="Z269" s="228"/>
      <c r="AA269" s="229">
        <f ca="1">Table2[[#This Row],[End Date]]+2-TODAY()</f>
        <v>46</v>
      </c>
      <c r="AB269" s="228">
        <f>IF(ISBLANK(#REF!),1,0)</f>
        <v>0</v>
      </c>
      <c r="AC269" s="228">
        <f ca="1">IF(Table2[[#This Row],[Start Date]]&gt;TODAY(),1,)</f>
        <v>1</v>
      </c>
    </row>
    <row r="270" spans="1:29" s="197" customFormat="1">
      <c r="A270" s="215"/>
      <c r="B270" s="250" t="s">
        <v>299</v>
      </c>
      <c r="C270" s="225" t="str">
        <f>VLOOKUP(Table2[[#This Row],[Course Title]],Data!$A$1:$E$56,2,FALSE)</f>
        <v>A-570-0100</v>
      </c>
      <c r="D270" s="225" t="str">
        <f>VLOOKUP(Table2[[#This Row],[Course Title]],Data!$A$1:$E$56,3,FALSE)</f>
        <v>18B7</v>
      </c>
      <c r="E270" s="224" t="s">
        <v>116</v>
      </c>
      <c r="F270" s="226">
        <v>45440</v>
      </c>
      <c r="G270" s="226">
        <v>45443</v>
      </c>
      <c r="H270" s="226"/>
      <c r="I270" s="244">
        <v>0.54166666666666663</v>
      </c>
      <c r="J270" s="244">
        <v>0.41666666666666669</v>
      </c>
      <c r="K270" s="244">
        <v>0.83333333333333337</v>
      </c>
      <c r="L270" s="244">
        <v>0.75</v>
      </c>
      <c r="M270" s="244">
        <v>0.29166666666666669</v>
      </c>
      <c r="N270" s="244">
        <v>8.3333333333333329E-2</v>
      </c>
      <c r="O270" s="218" t="e">
        <v>#REF!</v>
      </c>
      <c r="P270" s="213" t="e">
        <v>#REF!</v>
      </c>
      <c r="Q270" s="218"/>
      <c r="R270" s="215"/>
      <c r="S270" s="215"/>
      <c r="T270" s="228">
        <f>VLOOKUP(Table2[[#This Row],[Course Title]],Data!$A$1:$E$56,4,FALSE)</f>
        <v>30</v>
      </c>
      <c r="U270" s="228">
        <f>VLOOKUP(Table2[[#This Row],[Course Title]],Data!$A$1:$E$56,5,FALSE)</f>
        <v>4</v>
      </c>
      <c r="V270" s="228"/>
      <c r="W270" s="218"/>
      <c r="X270" s="228"/>
      <c r="Y270" s="228"/>
      <c r="Z270" s="228"/>
      <c r="AA270" s="229">
        <f ca="1">Table2[[#This Row],[End Date]]+2-TODAY()</f>
        <v>46</v>
      </c>
      <c r="AB270" s="228">
        <f>IF(ISBLANK(#REF!),1,0)</f>
        <v>0</v>
      </c>
      <c r="AC270" s="228">
        <f ca="1">IF(Table2[[#This Row],[Start Date]]&gt;TODAY(),1,)</f>
        <v>1</v>
      </c>
    </row>
    <row r="271" spans="1:29" s="197" customFormat="1">
      <c r="A271" s="215"/>
      <c r="B271" s="250" t="s">
        <v>40</v>
      </c>
      <c r="C271" s="225" t="str">
        <f>VLOOKUP(Table2[[#This Row],[Course Title]],Data!$A$1:$E$56,2,FALSE)</f>
        <v>A-493-2017</v>
      </c>
      <c r="D271" s="225" t="str">
        <f>VLOOKUP(Table2[[#This Row],[Course Title]],Data!$A$1:$E$56,3,FALSE)</f>
        <v>12x3</v>
      </c>
      <c r="E271" s="255" t="s">
        <v>147</v>
      </c>
      <c r="F271" s="239">
        <v>45446</v>
      </c>
      <c r="G271" s="239">
        <v>45450</v>
      </c>
      <c r="H271" s="246">
        <v>0.33333333333333331</v>
      </c>
      <c r="I271" s="246"/>
      <c r="J271" s="226"/>
      <c r="K271" s="226"/>
      <c r="L271" s="226"/>
      <c r="M271" s="226"/>
      <c r="N271" s="226"/>
      <c r="O271" s="218" t="e">
        <v>#REF!</v>
      </c>
      <c r="P271" s="213" t="e">
        <v>#REF!</v>
      </c>
      <c r="Q271" s="218"/>
      <c r="R271" s="215"/>
      <c r="S271" s="215"/>
      <c r="T271" s="228">
        <f>VLOOKUP(Table2[[#This Row],[Course Title]],Data!$A$1:$E$56,4,FALSE)</f>
        <v>25</v>
      </c>
      <c r="U271" s="228">
        <f>VLOOKUP(Table2[[#This Row],[Course Title]],Data!$A$1:$E$56,5,FALSE)</f>
        <v>2</v>
      </c>
      <c r="V271" s="228"/>
      <c r="W271" s="218"/>
      <c r="X271" s="228"/>
      <c r="Y271" s="228"/>
      <c r="Z271" s="228"/>
      <c r="AA271" s="229">
        <f ca="1">Table2[[#This Row],[End Date]]+2-TODAY()</f>
        <v>53</v>
      </c>
      <c r="AB271" s="228">
        <f>IF(ISBLANK(#REF!),1,0)</f>
        <v>0</v>
      </c>
      <c r="AC271" s="228">
        <f ca="1">IF(Table2[[#This Row],[Start Date]]&gt;TODAY(),1,)</f>
        <v>1</v>
      </c>
    </row>
    <row r="272" spans="1:29" s="197" customFormat="1">
      <c r="A272" s="215"/>
      <c r="B272" s="250" t="s">
        <v>215</v>
      </c>
      <c r="C272" s="225" t="str">
        <f>VLOOKUP(Table2[[#This Row],[Course Title]],Data!$A$1:$E$56,2,FALSE)</f>
        <v>A-493-0665</v>
      </c>
      <c r="D272" s="225" t="str">
        <f>VLOOKUP(Table2[[#This Row],[Course Title]],Data!$A$1:$E$56,3,FALSE)</f>
        <v>10KW</v>
      </c>
      <c r="E272" s="224" t="s">
        <v>116</v>
      </c>
      <c r="F272" s="226">
        <v>45446</v>
      </c>
      <c r="G272" s="226">
        <v>45450</v>
      </c>
      <c r="H272" s="226"/>
      <c r="I272" s="244">
        <v>0.33333333333333331</v>
      </c>
      <c r="J272" s="244">
        <v>0.20833333333333334</v>
      </c>
      <c r="K272" s="244">
        <v>0.625</v>
      </c>
      <c r="L272" s="244">
        <v>0.54166666666666663</v>
      </c>
      <c r="M272" s="244">
        <v>8.3333333333333329E-2</v>
      </c>
      <c r="N272" s="244">
        <v>0.875</v>
      </c>
      <c r="O272" s="218" t="e">
        <v>#REF!</v>
      </c>
      <c r="P272" s="213" t="e">
        <v>#REF!</v>
      </c>
      <c r="Q272" s="218"/>
      <c r="R272" s="215"/>
      <c r="S272" s="215"/>
      <c r="T272" s="228">
        <f>VLOOKUP(Table2[[#This Row],[Course Title]],Data!$A$1:$E$56,4,FALSE)</f>
        <v>45</v>
      </c>
      <c r="U272" s="228">
        <f>VLOOKUP(Table2[[#This Row],[Course Title]],Data!$A$1:$E$56,5,FALSE)</f>
        <v>5</v>
      </c>
      <c r="V272" s="228"/>
      <c r="W272" s="218"/>
      <c r="X272" s="228"/>
      <c r="Y272" s="228"/>
      <c r="Z272" s="228"/>
      <c r="AA272" s="229">
        <f ca="1">Table2[[#This Row],[End Date]]+2-TODAY()</f>
        <v>53</v>
      </c>
      <c r="AB272" s="228">
        <f>IF(ISBLANK(#REF!),1,0)</f>
        <v>0</v>
      </c>
      <c r="AC272" s="228">
        <f ca="1">IF(Table2[[#This Row],[Start Date]]&gt;TODAY(),1,)</f>
        <v>1</v>
      </c>
    </row>
    <row r="273" spans="1:29" s="197" customFormat="1">
      <c r="A273" s="215"/>
      <c r="B273" s="250" t="s">
        <v>236</v>
      </c>
      <c r="C273" s="225" t="str">
        <f>VLOOKUP(Table2[[#This Row],[Course Title]],Data!$A$1:$E$56,2,FALSE)</f>
        <v>A-493-0103</v>
      </c>
      <c r="D273" s="225" t="str">
        <f>VLOOKUP(Table2[[#This Row],[Course Title]],Data!$A$1:$E$56,3,FALSE)</f>
        <v>12JY</v>
      </c>
      <c r="E273" s="232" t="s">
        <v>158</v>
      </c>
      <c r="F273" s="226">
        <v>45446</v>
      </c>
      <c r="G273" s="226">
        <v>45450</v>
      </c>
      <c r="H273" s="227">
        <v>0.33333333333333331</v>
      </c>
      <c r="I273" s="227"/>
      <c r="J273" s="226"/>
      <c r="K273" s="226"/>
      <c r="L273" s="226"/>
      <c r="M273" s="226"/>
      <c r="N273" s="226"/>
      <c r="O273" s="213" t="e">
        <v>#REF!</v>
      </c>
      <c r="P273" s="213" t="e">
        <v>#REF!</v>
      </c>
      <c r="Q273" s="213"/>
      <c r="R273" s="215"/>
      <c r="S273" s="215"/>
      <c r="T273" s="228">
        <f>VLOOKUP(Table2[[#This Row],[Course Title]],Data!$A$1:$E$56,4,FALSE)</f>
        <v>25</v>
      </c>
      <c r="U273" s="228">
        <f>VLOOKUP(Table2[[#This Row],[Course Title]],Data!$A$1:$E$56,5,FALSE)</f>
        <v>5</v>
      </c>
      <c r="V273" s="228"/>
      <c r="W273" s="218"/>
      <c r="X273" s="228"/>
      <c r="Y273" s="228"/>
      <c r="Z273" s="228"/>
      <c r="AA273" s="229">
        <f ca="1">Table2[[#This Row],[End Date]]+2-TODAY()</f>
        <v>53</v>
      </c>
      <c r="AB273" s="228">
        <f>IF(ISBLANK(#REF!),1,0)</f>
        <v>0</v>
      </c>
      <c r="AC273" s="228">
        <f ca="1">IF(Table2[[#This Row],[Start Date]]&gt;TODAY(),1,)</f>
        <v>1</v>
      </c>
    </row>
    <row r="274" spans="1:29" s="196" customFormat="1" ht="15.75" customHeight="1">
      <c r="A274" s="215"/>
      <c r="B274" s="250" t="s">
        <v>248</v>
      </c>
      <c r="C274" s="225" t="str">
        <f>VLOOKUP(Table2[[#This Row],[Course Title]],Data!$A$1:$E$56,2,FALSE)</f>
        <v>A-322-2604</v>
      </c>
      <c r="D274" s="225" t="str">
        <f>VLOOKUP(Table2[[#This Row],[Course Title]],Data!$A$1:$E$56,3,FALSE)</f>
        <v>10ZZ</v>
      </c>
      <c r="E274" s="224" t="s">
        <v>116</v>
      </c>
      <c r="F274" s="226">
        <v>45446</v>
      </c>
      <c r="G274" s="226">
        <v>45450</v>
      </c>
      <c r="H274" s="226"/>
      <c r="I274" s="244">
        <v>0.54166666666666663</v>
      </c>
      <c r="J274" s="244">
        <v>0.41666666666666669</v>
      </c>
      <c r="K274" s="244">
        <v>0.83333333333333337</v>
      </c>
      <c r="L274" s="244">
        <v>0.75</v>
      </c>
      <c r="M274" s="244">
        <v>0.29166666666666669</v>
      </c>
      <c r="N274" s="244">
        <v>8.3333333333333329E-2</v>
      </c>
      <c r="O274" s="218" t="e">
        <v>#REF!</v>
      </c>
      <c r="P274" s="213" t="e">
        <v>#REF!</v>
      </c>
      <c r="Q274" s="218"/>
      <c r="R274" s="215"/>
      <c r="S274" s="215"/>
      <c r="T274" s="228">
        <f>VLOOKUP(Table2[[#This Row],[Course Title]],Data!$A$1:$E$56,4,FALSE)</f>
        <v>45</v>
      </c>
      <c r="U274" s="228">
        <f>VLOOKUP(Table2[[#This Row],[Course Title]],Data!$A$1:$E$56,5,FALSE)</f>
        <v>5</v>
      </c>
      <c r="V274" s="228"/>
      <c r="W274" s="218"/>
      <c r="X274" s="228"/>
      <c r="Y274" s="228"/>
      <c r="Z274" s="228"/>
      <c r="AA274" s="229">
        <f ca="1">Table2[[#This Row],[End Date]]+2-TODAY()</f>
        <v>53</v>
      </c>
      <c r="AB274" s="228">
        <f>IF(ISBLANK(#REF!),1,0)</f>
        <v>0</v>
      </c>
      <c r="AC274" s="228">
        <f ca="1">IF(Table2[[#This Row],[Start Date]]&gt;TODAY(),1,)</f>
        <v>1</v>
      </c>
    </row>
    <row r="275" spans="1:29" s="196" customFormat="1" ht="14.45" customHeight="1">
      <c r="A275" s="215" t="s">
        <v>479</v>
      </c>
      <c r="B275" s="250" t="s">
        <v>276</v>
      </c>
      <c r="C275" s="225" t="str">
        <f>VLOOKUP(Table2[[#This Row],[Course Title]],Data!$A$1:$E$56,2,FALSE)</f>
        <v>A-493-0550</v>
      </c>
      <c r="D275" s="225" t="str">
        <f>VLOOKUP(Table2[[#This Row],[Course Title]],Data!$A$1:$E$56,3,FALSE)</f>
        <v>09K5</v>
      </c>
      <c r="E275" s="224" t="s">
        <v>116</v>
      </c>
      <c r="F275" s="226">
        <v>45446</v>
      </c>
      <c r="G275" s="226">
        <v>45450</v>
      </c>
      <c r="H275" s="226"/>
      <c r="I275" s="244">
        <v>0.33333333333333331</v>
      </c>
      <c r="J275" s="244">
        <v>0.20833333333333334</v>
      </c>
      <c r="K275" s="244">
        <v>0.625</v>
      </c>
      <c r="L275" s="244">
        <v>0.54166666666666663</v>
      </c>
      <c r="M275" s="244">
        <v>8.3333333333333329E-2</v>
      </c>
      <c r="N275" s="244">
        <v>0.875</v>
      </c>
      <c r="O275" s="213" t="e">
        <v>#REF!</v>
      </c>
      <c r="P275" s="213" t="e">
        <v>#REF!</v>
      </c>
      <c r="Q275" s="214"/>
      <c r="R275" s="215"/>
      <c r="S275" s="215"/>
      <c r="T275" s="228">
        <f>VLOOKUP(Table2[[#This Row],[Course Title]],Data!$A$1:$E$56,4,FALSE)</f>
        <v>45</v>
      </c>
      <c r="U275" s="228">
        <f>VLOOKUP(Table2[[#This Row],[Course Title]],Data!$A$1:$E$56,5,FALSE)</f>
        <v>4</v>
      </c>
      <c r="V275" s="228"/>
      <c r="W275" s="218"/>
      <c r="X275" s="228"/>
      <c r="Y275" s="228"/>
      <c r="Z275" s="225"/>
      <c r="AA275" s="229">
        <f ca="1">Table2[[#This Row],[End Date]]+2-TODAY()</f>
        <v>53</v>
      </c>
      <c r="AB275" s="228">
        <f>IF(ISBLANK(#REF!),1,0)</f>
        <v>0</v>
      </c>
      <c r="AC275" s="228">
        <f ca="1">IF(Table2[[#This Row],[Start Date]]&gt;TODAY(),1,)</f>
        <v>1</v>
      </c>
    </row>
    <row r="276" spans="1:29" s="196" customFormat="1" ht="15.75" customHeight="1">
      <c r="A276" s="215"/>
      <c r="B276" s="250" t="s">
        <v>38</v>
      </c>
      <c r="C276" s="225" t="str">
        <f>VLOOKUP(Table2[[#This Row],[Course Title]],Data!$A$1:$E$56,2,FALSE)</f>
        <v>A-493-0072</v>
      </c>
      <c r="D276" s="225" t="str">
        <f>VLOOKUP(Table2[[#This Row],[Course Title]],Data!$A$1:$E$56,3,FALSE)</f>
        <v>713U</v>
      </c>
      <c r="E276" s="232" t="s">
        <v>140</v>
      </c>
      <c r="F276" s="226">
        <v>45446</v>
      </c>
      <c r="G276" s="226">
        <v>45449</v>
      </c>
      <c r="H276" s="246">
        <v>0.33333333333333331</v>
      </c>
      <c r="I276" s="246"/>
      <c r="J276" s="226"/>
      <c r="K276" s="226"/>
      <c r="L276" s="226"/>
      <c r="M276" s="226"/>
      <c r="N276" s="226"/>
      <c r="O276" s="213" t="e">
        <v>#REF!</v>
      </c>
      <c r="P276" s="213" t="e">
        <v>#REF!</v>
      </c>
      <c r="Q276" s="233"/>
      <c r="R276" s="215"/>
      <c r="S276" s="224"/>
      <c r="T276" s="228">
        <f>VLOOKUP(Table2[[#This Row],[Course Title]],Data!$A$1:$E$56,4,FALSE)</f>
        <v>30</v>
      </c>
      <c r="U276" s="228">
        <f>VLOOKUP(Table2[[#This Row],[Course Title]],Data!$A$1:$E$56,5,FALSE)</f>
        <v>4</v>
      </c>
      <c r="V276" s="228"/>
      <c r="W276" s="218"/>
      <c r="X276" s="228"/>
      <c r="Y276" s="228"/>
      <c r="Z276" s="228"/>
      <c r="AA276" s="229">
        <f ca="1">Table2[[#This Row],[End Date]]+2-TODAY()</f>
        <v>52</v>
      </c>
      <c r="AB276" s="228">
        <f>IF(ISBLANK(#REF!),1,0)</f>
        <v>0</v>
      </c>
      <c r="AC276" s="228">
        <f ca="1">IF(Table2[[#This Row],[Start Date]]&gt;TODAY(),1,)</f>
        <v>1</v>
      </c>
    </row>
    <row r="277" spans="1:29" s="196" customFormat="1" ht="15.75" customHeight="1">
      <c r="A277" s="215"/>
      <c r="B277" s="250" t="s">
        <v>18</v>
      </c>
      <c r="C277" s="225" t="str">
        <f>VLOOKUP(Table2[[#This Row],[Course Title]],Data!$A$1:$E$56,2,FALSE)</f>
        <v>A-493-0013</v>
      </c>
      <c r="D277" s="225">
        <f>VLOOKUP(Table2[[#This Row],[Course Title]],Data!$A$1:$E$56,3,FALSE)</f>
        <v>3683</v>
      </c>
      <c r="E277" s="224" t="s">
        <v>154</v>
      </c>
      <c r="F277" s="226">
        <v>45447</v>
      </c>
      <c r="G277" s="226">
        <v>45449</v>
      </c>
      <c r="H277" s="227">
        <v>0.33333333333333331</v>
      </c>
      <c r="I277" s="227"/>
      <c r="J277" s="227"/>
      <c r="K277" s="227"/>
      <c r="L277" s="227"/>
      <c r="M277" s="227"/>
      <c r="N277" s="226"/>
      <c r="O277" s="213" t="e">
        <v>#REF!</v>
      </c>
      <c r="P277" s="213" t="e">
        <v>#REF!</v>
      </c>
      <c r="Q277" s="214"/>
      <c r="R277" s="215"/>
      <c r="S277" s="215"/>
      <c r="T277" s="228">
        <f>VLOOKUP(Table2[[#This Row],[Course Title]],Data!$A$1:$E$56,4,FALSE)</f>
        <v>40</v>
      </c>
      <c r="U277" s="228">
        <v>3</v>
      </c>
      <c r="V277" s="228"/>
      <c r="W277" s="218"/>
      <c r="X277" s="228"/>
      <c r="Y277" s="228"/>
      <c r="Z277" s="228"/>
      <c r="AA277" s="229">
        <f ca="1">Table2[[#This Row],[End Date]]+2-TODAY()</f>
        <v>52</v>
      </c>
      <c r="AB277" s="228">
        <f>IF(ISBLANK(#REF!),1,0)</f>
        <v>0</v>
      </c>
      <c r="AC277" s="228">
        <f ca="1">IF(Table2[[#This Row],[Start Date]]&gt;TODAY(),1,)</f>
        <v>1</v>
      </c>
    </row>
    <row r="278" spans="1:29" s="196" customFormat="1" ht="15.75" customHeight="1">
      <c r="A278" s="232" t="s">
        <v>481</v>
      </c>
      <c r="B278" s="250" t="s">
        <v>38</v>
      </c>
      <c r="C278" s="225" t="str">
        <f>VLOOKUP(Table2[[#This Row],[Course Title]],Data!$A$1:$E$56,2,FALSE)</f>
        <v>A-493-0072</v>
      </c>
      <c r="D278" s="225" t="str">
        <f>VLOOKUP(Table2[[#This Row],[Course Title]],Data!$A$1:$E$56,3,FALSE)</f>
        <v>713U</v>
      </c>
      <c r="E278" s="224" t="s">
        <v>143</v>
      </c>
      <c r="F278" s="226">
        <v>45447</v>
      </c>
      <c r="G278" s="226">
        <v>45450</v>
      </c>
      <c r="H278" s="246">
        <v>0.33333333333333331</v>
      </c>
      <c r="I278" s="246"/>
      <c r="J278" s="226"/>
      <c r="K278" s="226"/>
      <c r="L278" s="226"/>
      <c r="M278" s="226"/>
      <c r="N278" s="226"/>
      <c r="O278" s="213" t="e">
        <v>#REF!</v>
      </c>
      <c r="P278" s="213" t="e">
        <v>#REF!</v>
      </c>
      <c r="Q278" s="214"/>
      <c r="R278" s="215"/>
      <c r="S278" s="215"/>
      <c r="T278" s="228">
        <f>VLOOKUP(Table2[[#This Row],[Course Title]],Data!$A$1:$E$56,4,FALSE)</f>
        <v>30</v>
      </c>
      <c r="U278" s="228">
        <f>VLOOKUP(Table2[[#This Row],[Course Title]],Data!$A$1:$E$56,5,FALSE)</f>
        <v>4</v>
      </c>
      <c r="V278" s="228"/>
      <c r="W278" s="218"/>
      <c r="X278" s="228"/>
      <c r="Y278" s="228"/>
      <c r="Z278" s="228"/>
      <c r="AA278" s="229">
        <f ca="1">Table2[[#This Row],[End Date]]+2-TODAY()</f>
        <v>53</v>
      </c>
      <c r="AB278" s="228">
        <f>IF(ISBLANK(#REF!),1,0)</f>
        <v>0</v>
      </c>
      <c r="AC278" s="228">
        <f ca="1">IF(Table2[[#This Row],[Start Date]]&gt;TODAY(),1,)</f>
        <v>1</v>
      </c>
    </row>
    <row r="279" spans="1:29" s="196" customFormat="1" ht="15.75" customHeight="1">
      <c r="A279" s="215"/>
      <c r="B279" s="250" t="s">
        <v>26</v>
      </c>
      <c r="C279" s="225" t="str">
        <f>VLOOKUP(Table2[[#This Row],[Course Title]],Data!$A$1:$E$56,2,FALSE)</f>
        <v>A-493-2301</v>
      </c>
      <c r="D279" s="225" t="str">
        <f>VLOOKUP(Table2[[#This Row],[Course Title]],Data!$A$1:$E$56,3,FALSE)</f>
        <v>05ZD</v>
      </c>
      <c r="E279" s="232" t="s">
        <v>143</v>
      </c>
      <c r="F279" s="226">
        <v>45448</v>
      </c>
      <c r="G279" s="226">
        <v>45448</v>
      </c>
      <c r="H279" s="227">
        <v>0.33333333333333331</v>
      </c>
      <c r="I279" s="227"/>
      <c r="J279" s="226"/>
      <c r="K279" s="226"/>
      <c r="L279" s="226"/>
      <c r="M279" s="226"/>
      <c r="N279" s="226"/>
      <c r="O279" s="218" t="e">
        <v>#REF!</v>
      </c>
      <c r="P279" s="213" t="e">
        <v>#REF!</v>
      </c>
      <c r="Q279" s="218"/>
      <c r="R279" s="215"/>
      <c r="S279" s="215"/>
      <c r="T279" s="228">
        <f>VLOOKUP(Table2[[#This Row],[Course Title]],Data!$A$1:$E$56,4,FALSE)</f>
        <v>30</v>
      </c>
      <c r="U279" s="228">
        <f>VLOOKUP(Table2[[#This Row],[Course Title]],Data!$A$1:$E$56,5,FALSE)</f>
        <v>1</v>
      </c>
      <c r="V279" s="228"/>
      <c r="W279" s="218"/>
      <c r="X279" s="228"/>
      <c r="Y279" s="228"/>
      <c r="Z279" s="228"/>
      <c r="AA279" s="229">
        <f ca="1">Table2[[#This Row],[End Date]]+2-TODAY()</f>
        <v>51</v>
      </c>
      <c r="AB279" s="228">
        <f>IF(ISBLANK(#REF!),1,0)</f>
        <v>0</v>
      </c>
      <c r="AC279" s="228">
        <f ca="1">IF(Table2[[#This Row],[Start Date]]&gt;TODAY(),1,)</f>
        <v>1</v>
      </c>
    </row>
    <row r="280" spans="1:29" s="234" customFormat="1" ht="15.75" customHeight="1">
      <c r="A280" s="215"/>
      <c r="B280" s="250" t="s">
        <v>17</v>
      </c>
      <c r="C280" s="225" t="str">
        <f>VLOOKUP(Table2[[#This Row],[Course Title]],Data!$A$1:$E$56,2,FALSE)</f>
        <v>A-493-0012</v>
      </c>
      <c r="D280" s="225">
        <f>VLOOKUP(Table2[[#This Row],[Course Title]],Data!$A$1:$E$56,3,FALSE)</f>
        <v>3682</v>
      </c>
      <c r="E280" s="232" t="s">
        <v>109</v>
      </c>
      <c r="F280" s="239">
        <v>45453</v>
      </c>
      <c r="G280" s="226">
        <v>45457</v>
      </c>
      <c r="H280" s="227">
        <v>0.33333333333333331</v>
      </c>
      <c r="I280" s="227"/>
      <c r="J280" s="226"/>
      <c r="K280" s="226"/>
      <c r="L280" s="226"/>
      <c r="M280" s="226"/>
      <c r="N280" s="226"/>
      <c r="O280" s="218" t="e">
        <v>#REF!</v>
      </c>
      <c r="P280" s="213" t="e">
        <v>#REF!</v>
      </c>
      <c r="Q280" s="218"/>
      <c r="R280" s="215"/>
      <c r="S280" s="215"/>
      <c r="T280" s="228">
        <f>VLOOKUP(Table2[[#This Row],[Course Title]],Data!$A$1:$E$56,4,FALSE)</f>
        <v>40</v>
      </c>
      <c r="U280" s="228">
        <f>VLOOKUP(Table2[[#This Row],[Course Title]],Data!$A$1:$E$56,5,FALSE)</f>
        <v>5</v>
      </c>
      <c r="V280" s="228"/>
      <c r="W280" s="218"/>
      <c r="X280" s="228"/>
      <c r="Y280" s="228"/>
      <c r="Z280" s="228"/>
      <c r="AA280" s="229">
        <f ca="1">Table2[[#This Row],[End Date]]+2-TODAY()</f>
        <v>60</v>
      </c>
      <c r="AB280" s="228">
        <f>IF(ISBLANK(#REF!),1,0)</f>
        <v>0</v>
      </c>
      <c r="AC280" s="228">
        <f ca="1">IF(Table2[[#This Row],[Start Date]]&gt;TODAY(),1,)</f>
        <v>1</v>
      </c>
    </row>
    <row r="281" spans="1:29" s="196" customFormat="1" ht="15.75" customHeight="1">
      <c r="A281" s="224"/>
      <c r="B281" s="250" t="s">
        <v>236</v>
      </c>
      <c r="C281" s="225" t="str">
        <f>VLOOKUP(Table2[[#This Row],[Course Title]],Data!$A$1:$E$56,2,FALSE)</f>
        <v>A-493-0103</v>
      </c>
      <c r="D281" s="225" t="str">
        <f>VLOOKUP(Table2[[#This Row],[Course Title]],Data!$A$1:$E$56,3,FALSE)</f>
        <v>12JY</v>
      </c>
      <c r="E281" s="224" t="s">
        <v>109</v>
      </c>
      <c r="F281" s="226">
        <v>45453</v>
      </c>
      <c r="G281" s="226">
        <v>45457</v>
      </c>
      <c r="H281" s="227">
        <v>0.33333333333333331</v>
      </c>
      <c r="I281" s="227"/>
      <c r="J281" s="226"/>
      <c r="K281" s="226"/>
      <c r="L281" s="226"/>
      <c r="M281" s="226"/>
      <c r="N281" s="226"/>
      <c r="O281" s="213" t="e">
        <v>#REF!</v>
      </c>
      <c r="P281" s="213" t="e">
        <v>#REF!</v>
      </c>
      <c r="Q281" s="214"/>
      <c r="R281" s="215"/>
      <c r="S281" s="215"/>
      <c r="T281" s="228">
        <f>VLOOKUP(Table2[[#This Row],[Course Title]],Data!$A$1:$E$56,4,FALSE)</f>
        <v>25</v>
      </c>
      <c r="U281" s="228">
        <f>VLOOKUP(Table2[[#This Row],[Course Title]],Data!$A$1:$E$56,5,FALSE)</f>
        <v>5</v>
      </c>
      <c r="V281" s="228"/>
      <c r="W281" s="218"/>
      <c r="X281" s="228"/>
      <c r="Y281" s="228"/>
      <c r="Z281" s="228"/>
      <c r="AA281" s="229">
        <f ca="1">Table2[[#This Row],[End Date]]+2-TODAY()</f>
        <v>60</v>
      </c>
      <c r="AB281" s="228">
        <f>IF(ISBLANK(#REF!),1,0)</f>
        <v>0</v>
      </c>
      <c r="AC281" s="228">
        <f ca="1">IF(Table2[[#This Row],[Start Date]]&gt;TODAY(),1,)</f>
        <v>1</v>
      </c>
    </row>
    <row r="282" spans="1:29" s="234" customFormat="1" ht="15.75" customHeight="1">
      <c r="A282" s="215"/>
      <c r="B282" s="250" t="s">
        <v>14</v>
      </c>
      <c r="C282" s="225" t="str">
        <f>VLOOKUP(Table2[[#This Row],[Course Title]],Data!$A$1:$E$56,2,FALSE)</f>
        <v>A-493-0030</v>
      </c>
      <c r="D282" s="225" t="str">
        <f>VLOOKUP(Table2[[#This Row],[Course Title]],Data!$A$1:$E$56,3,FALSE)</f>
        <v>286X</v>
      </c>
      <c r="E282" s="232" t="s">
        <v>116</v>
      </c>
      <c r="F282" s="226">
        <v>45453</v>
      </c>
      <c r="G282" s="226">
        <v>45457</v>
      </c>
      <c r="H282" s="227"/>
      <c r="I282" s="244">
        <v>0.33333333333333331</v>
      </c>
      <c r="J282" s="244">
        <v>0.20833333333333334</v>
      </c>
      <c r="K282" s="244">
        <v>0.625</v>
      </c>
      <c r="L282" s="244">
        <v>0.54166666666666663</v>
      </c>
      <c r="M282" s="244">
        <v>8.3333333333333329E-2</v>
      </c>
      <c r="N282" s="244">
        <v>0.875</v>
      </c>
      <c r="O282" s="213" t="e">
        <v>#REF!</v>
      </c>
      <c r="P282" s="213" t="e">
        <v>#REF!</v>
      </c>
      <c r="Q282" s="233"/>
      <c r="R282" s="215"/>
      <c r="S282" s="224"/>
      <c r="T282" s="228">
        <f>VLOOKUP(Table2[[#This Row],[Course Title]],Data!$A$1:$E$56,4,FALSE)</f>
        <v>25</v>
      </c>
      <c r="U282" s="228">
        <f>VLOOKUP(Table2[[#This Row],[Course Title]],Data!$A$1:$E$56,5,FALSE)</f>
        <v>5</v>
      </c>
      <c r="V282" s="228"/>
      <c r="W282" s="218"/>
      <c r="X282" s="228"/>
      <c r="Y282" s="228"/>
      <c r="Z282" s="228"/>
      <c r="AA282" s="229">
        <f ca="1">Table2[[#This Row],[End Date]]+2-TODAY()</f>
        <v>60</v>
      </c>
      <c r="AB282" s="228">
        <f>IF(ISBLANK(#REF!),1,0)</f>
        <v>0</v>
      </c>
      <c r="AC282" s="228">
        <f ca="1">IF(Table2[[#This Row],[Start Date]]&gt;TODAY(),1,)</f>
        <v>1</v>
      </c>
    </row>
    <row r="283" spans="1:29" s="196" customFormat="1" ht="15.75" customHeight="1">
      <c r="A283" s="224"/>
      <c r="B283" s="250" t="s">
        <v>15</v>
      </c>
      <c r="C283" s="225" t="str">
        <f>VLOOKUP(Table2[[#This Row],[Course Title]],Data!$A$1:$E$56,2,FALSE)</f>
        <v>A-493-0021</v>
      </c>
      <c r="D283" s="225" t="str">
        <f>VLOOKUP(Table2[[#This Row],[Course Title]],Data!$A$1:$E$56,3,FALSE)</f>
        <v>18BN</v>
      </c>
      <c r="E283" s="224" t="s">
        <v>151</v>
      </c>
      <c r="F283" s="226">
        <v>45453</v>
      </c>
      <c r="G283" s="226">
        <v>45457</v>
      </c>
      <c r="H283" s="227">
        <v>0.33333333333333331</v>
      </c>
      <c r="I283" s="227"/>
      <c r="J283" s="226"/>
      <c r="K283" s="226"/>
      <c r="L283" s="226"/>
      <c r="M283" s="226"/>
      <c r="N283" s="226"/>
      <c r="O283" s="218" t="e">
        <v>#REF!</v>
      </c>
      <c r="P283" s="218" t="e">
        <v>#REF!</v>
      </c>
      <c r="Q283" s="214"/>
      <c r="R283" s="215"/>
      <c r="S283" s="215"/>
      <c r="T283" s="228">
        <f>VLOOKUP(Table2[[#This Row],[Course Title]],Data!$A$1:$E$56,4,FALSE)</f>
        <v>35</v>
      </c>
      <c r="U283" s="228">
        <f>VLOOKUP(Table2[[#This Row],[Course Title]],Data!$A$1:$E$56,5,FALSE)</f>
        <v>5</v>
      </c>
      <c r="V283" s="228"/>
      <c r="W283" s="218"/>
      <c r="X283" s="228"/>
      <c r="Y283" s="228"/>
      <c r="Z283" s="225"/>
      <c r="AA283" s="229">
        <f ca="1">Table2[[#This Row],[End Date]]+2-TODAY()</f>
        <v>60</v>
      </c>
      <c r="AB283" s="228">
        <f>IF(ISBLANK(#REF!),1,0)</f>
        <v>0</v>
      </c>
      <c r="AC283" s="228">
        <f ca="1">IF(Table2[[#This Row],[Start Date]]&gt;TODAY(),1,)</f>
        <v>1</v>
      </c>
    </row>
    <row r="284" spans="1:29" s="196" customFormat="1" ht="15.75" customHeight="1">
      <c r="A284" s="224"/>
      <c r="B284" s="250" t="s">
        <v>242</v>
      </c>
      <c r="C284" s="225" t="str">
        <f>VLOOKUP(Table2[[#This Row],[Course Title]],Data!$A$1:$E$56,2,FALSE)</f>
        <v>A-493-0061</v>
      </c>
      <c r="D284" s="225" t="str">
        <f>VLOOKUP(Table2[[#This Row],[Course Title]],Data!$A$1:$E$56,3,FALSE)</f>
        <v>288E</v>
      </c>
      <c r="E284" s="224" t="s">
        <v>116</v>
      </c>
      <c r="F284" s="226">
        <v>45453</v>
      </c>
      <c r="G284" s="226">
        <v>45457</v>
      </c>
      <c r="H284" s="226"/>
      <c r="I284" s="244">
        <v>0.33333333333333331</v>
      </c>
      <c r="J284" s="244">
        <v>0.20833333333333334</v>
      </c>
      <c r="K284" s="244">
        <v>0.625</v>
      </c>
      <c r="L284" s="244">
        <v>0.54166666666666663</v>
      </c>
      <c r="M284" s="244">
        <v>8.3333333333333329E-2</v>
      </c>
      <c r="N284" s="244">
        <v>0.875</v>
      </c>
      <c r="O284" s="213" t="e">
        <v>#REF!</v>
      </c>
      <c r="P284" s="213" t="e">
        <v>#REF!</v>
      </c>
      <c r="Q284" s="214"/>
      <c r="R284" s="215"/>
      <c r="S284" s="215"/>
      <c r="T284" s="228">
        <f>VLOOKUP(Table2[[#This Row],[Course Title]],Data!$A$1:$E$56,4,FALSE)</f>
        <v>45</v>
      </c>
      <c r="U284" s="228">
        <f>VLOOKUP(Table2[[#This Row],[Course Title]],Data!$A$1:$E$56,5,FALSE)</f>
        <v>5</v>
      </c>
      <c r="V284" s="228"/>
      <c r="W284" s="218"/>
      <c r="X284" s="228"/>
      <c r="Y284" s="228"/>
      <c r="Z284" s="228"/>
      <c r="AA284" s="229">
        <f ca="1">Table2[[#This Row],[End Date]]+2-TODAY()</f>
        <v>60</v>
      </c>
      <c r="AB284" s="228">
        <f>IF(ISBLANK(#REF!),1,0)</f>
        <v>0</v>
      </c>
      <c r="AC284" s="228">
        <f ca="1">IF(Table2[[#This Row],[Start Date]]&gt;TODAY(),1,)</f>
        <v>1</v>
      </c>
    </row>
    <row r="285" spans="1:29" s="196" customFormat="1" ht="15.75" customHeight="1">
      <c r="A285" s="215"/>
      <c r="B285" s="254" t="s">
        <v>287</v>
      </c>
      <c r="C285" s="225" t="str">
        <f>VLOOKUP(Table2[[#This Row],[Course Title]],Data!$A$1:$E$56,2,FALSE)</f>
        <v>A-493-0078</v>
      </c>
      <c r="D285" s="225">
        <f>VLOOKUP(Table2[[#This Row],[Course Title]],Data!$A$1:$E$56,3,FALSE)</f>
        <v>1228</v>
      </c>
      <c r="E285" s="224" t="s">
        <v>116</v>
      </c>
      <c r="F285" s="226">
        <v>45453</v>
      </c>
      <c r="G285" s="226">
        <v>45457</v>
      </c>
      <c r="H285" s="226"/>
      <c r="I285" s="244">
        <v>0.54166666666666663</v>
      </c>
      <c r="J285" s="244">
        <v>0.41666666666666669</v>
      </c>
      <c r="K285" s="244">
        <v>0.83333333333333337</v>
      </c>
      <c r="L285" s="244">
        <v>0.75</v>
      </c>
      <c r="M285" s="244">
        <v>0.29166666666666669</v>
      </c>
      <c r="N285" s="244">
        <v>8.3333333333333329E-2</v>
      </c>
      <c r="O285" s="213" t="e">
        <v>#REF!</v>
      </c>
      <c r="P285" s="213" t="e">
        <v>#REF!</v>
      </c>
      <c r="Q285" s="214"/>
      <c r="R285" s="215"/>
      <c r="S285" s="215"/>
      <c r="T285" s="228">
        <f>VLOOKUP(Table2[[#This Row],[Course Title]],Data!$A$1:$E$56,4,FALSE)</f>
        <v>45</v>
      </c>
      <c r="U285" s="228">
        <f>VLOOKUP(Table2[[#This Row],[Course Title]],Data!$A$1:$E$56,5,FALSE)</f>
        <v>5</v>
      </c>
      <c r="V285" s="228"/>
      <c r="W285" s="218"/>
      <c r="X285" s="228"/>
      <c r="Y285" s="228"/>
      <c r="Z285" s="228"/>
      <c r="AA285" s="229">
        <f ca="1">Table2[[#This Row],[End Date]]+2-TODAY()</f>
        <v>60</v>
      </c>
      <c r="AB285" s="228">
        <f>IF(ISBLANK(#REF!),1,0)</f>
        <v>0</v>
      </c>
      <c r="AC285" s="228">
        <f ca="1">IF(Table2[[#This Row],[Start Date]]&gt;TODAY(),1,)</f>
        <v>1</v>
      </c>
    </row>
    <row r="286" spans="1:29" s="196" customFormat="1" ht="15.75" customHeight="1">
      <c r="A286" s="215"/>
      <c r="B286" s="254" t="s">
        <v>312</v>
      </c>
      <c r="C286" s="225" t="str">
        <f>VLOOKUP(Table2[[#This Row],[Course Title]],Data!$A$1:$E$56,2,FALSE)</f>
        <v>A-493-2098</v>
      </c>
      <c r="D286" s="225" t="str">
        <f>VLOOKUP(Table2[[#This Row],[Course Title]],Data!$A$1:$E$56,3,FALSE)</f>
        <v>09WW</v>
      </c>
      <c r="E286" s="224" t="s">
        <v>116</v>
      </c>
      <c r="F286" s="226">
        <v>45453</v>
      </c>
      <c r="G286" s="226">
        <v>45457</v>
      </c>
      <c r="H286" s="226"/>
      <c r="I286" s="244">
        <v>0.79166666666666663</v>
      </c>
      <c r="J286" s="244">
        <v>0.66666666666666663</v>
      </c>
      <c r="K286" s="244">
        <v>8.3333333333333329E-2</v>
      </c>
      <c r="L286" s="244">
        <v>0</v>
      </c>
      <c r="M286" s="244">
        <v>0.54166666666666663</v>
      </c>
      <c r="N286" s="244">
        <v>0.33333333333333331</v>
      </c>
      <c r="O286" s="218" t="e">
        <v>#REF!</v>
      </c>
      <c r="P286" s="213" t="e">
        <v>#REF!</v>
      </c>
      <c r="Q286" s="218"/>
      <c r="R286" s="215"/>
      <c r="S286" s="215"/>
      <c r="T286" s="228">
        <f>VLOOKUP(Table2[[#This Row],[Course Title]],Data!$A$1:$E$56,4,FALSE)</f>
        <v>100</v>
      </c>
      <c r="U286" s="228">
        <f>VLOOKUP(Table2[[#This Row],[Course Title]],Data!$A$1:$E$56,5,FALSE)</f>
        <v>5</v>
      </c>
      <c r="V286" s="228"/>
      <c r="W286" s="218"/>
      <c r="X286" s="228"/>
      <c r="Y286" s="228"/>
      <c r="Z286" s="221"/>
      <c r="AA286" s="229">
        <f ca="1">Table2[[#This Row],[End Date]]+2-TODAY()</f>
        <v>60</v>
      </c>
      <c r="AB286" s="228">
        <f>IF(ISBLANK(#REF!),1,0)</f>
        <v>0</v>
      </c>
      <c r="AC286" s="228">
        <f ca="1">IF(Table2[[#This Row],[Start Date]]&gt;TODAY(),1,)</f>
        <v>1</v>
      </c>
    </row>
    <row r="287" spans="1:29" s="234" customFormat="1" ht="15.75" customHeight="1">
      <c r="A287" s="215"/>
      <c r="B287" s="254" t="s">
        <v>18</v>
      </c>
      <c r="C287" s="225" t="str">
        <f>VLOOKUP(Table2[[#This Row],[Course Title]],Data!$A$1:$E$56,2,FALSE)</f>
        <v>A-493-0013</v>
      </c>
      <c r="D287" s="225">
        <f>VLOOKUP(Table2[[#This Row],[Course Title]],Data!$A$1:$E$56,3,FALSE)</f>
        <v>3683</v>
      </c>
      <c r="E287" s="224" t="s">
        <v>352</v>
      </c>
      <c r="F287" s="226">
        <v>45454</v>
      </c>
      <c r="G287" s="226">
        <v>45456</v>
      </c>
      <c r="H287" s="227">
        <v>0.33333333333333331</v>
      </c>
      <c r="I287" s="227"/>
      <c r="J287" s="227"/>
      <c r="K287" s="227"/>
      <c r="L287" s="227"/>
      <c r="M287" s="227"/>
      <c r="N287" s="226"/>
      <c r="O287" s="213" t="e">
        <v>#REF!</v>
      </c>
      <c r="P287" s="213" t="e">
        <v>#REF!</v>
      </c>
      <c r="Q287" s="214"/>
      <c r="R287" s="215"/>
      <c r="S287" s="215"/>
      <c r="T287" s="228">
        <f>VLOOKUP(Table2[[#This Row],[Course Title]],Data!$A$1:$E$56,4,FALSE)</f>
        <v>40</v>
      </c>
      <c r="U287" s="228">
        <v>3</v>
      </c>
      <c r="V287" s="228"/>
      <c r="W287" s="218"/>
      <c r="X287" s="228"/>
      <c r="Y287" s="228"/>
      <c r="Z287" s="228"/>
      <c r="AA287" s="229">
        <f ca="1">Table2[[#This Row],[End Date]]+2-TODAY()</f>
        <v>59</v>
      </c>
      <c r="AB287" s="228">
        <f>IF(ISBLANK(#REF!),1,0)</f>
        <v>0</v>
      </c>
      <c r="AC287" s="228">
        <f ca="1">IF(Table2[[#This Row],[Start Date]]&gt;TODAY(),1,)</f>
        <v>1</v>
      </c>
    </row>
    <row r="288" spans="1:29" s="215" customFormat="1">
      <c r="B288" s="250" t="s">
        <v>19</v>
      </c>
      <c r="C288" s="225" t="str">
        <f>VLOOKUP(Table2[[#This Row],[Course Title]],Data!$A$1:$E$56,2,FALSE)</f>
        <v>A-493-0099</v>
      </c>
      <c r="D288" s="225" t="str">
        <f>VLOOKUP(Table2[[#This Row],[Course Title]],Data!$A$1:$E$56,3,FALSE)</f>
        <v>12JW</v>
      </c>
      <c r="E288" s="224" t="s">
        <v>116</v>
      </c>
      <c r="F288" s="226">
        <v>45454</v>
      </c>
      <c r="G288" s="226">
        <v>45456</v>
      </c>
      <c r="H288" s="226"/>
      <c r="I288" s="244">
        <v>0.33333333333333331</v>
      </c>
      <c r="J288" s="244">
        <v>0.20833333333333334</v>
      </c>
      <c r="K288" s="244">
        <v>0.625</v>
      </c>
      <c r="L288" s="244">
        <v>0.54166666666666663</v>
      </c>
      <c r="M288" s="244">
        <v>8.3333333333333329E-2</v>
      </c>
      <c r="N288" s="244">
        <v>0.875</v>
      </c>
      <c r="O288" s="213" t="e">
        <v>#REF!</v>
      </c>
      <c r="P288" s="213" t="e">
        <v>#REF!</v>
      </c>
      <c r="Q288" s="214"/>
      <c r="T288" s="228">
        <f>VLOOKUP(Table2[[#This Row],[Course Title]],Data!$A$1:$E$56,4,FALSE)</f>
        <v>45</v>
      </c>
      <c r="U288" s="228">
        <f>VLOOKUP(Table2[[#This Row],[Course Title]],Data!$A$1:$E$56,5,FALSE)</f>
        <v>3</v>
      </c>
      <c r="V288" s="228"/>
      <c r="W288" s="218"/>
      <c r="X288" s="228"/>
      <c r="Y288" s="228"/>
      <c r="Z288" s="228"/>
      <c r="AA288" s="229">
        <f ca="1">Table2[[#This Row],[End Date]]+2-TODAY()</f>
        <v>59</v>
      </c>
      <c r="AB288" s="228">
        <f>IF(ISBLANK(#REF!),1,0)</f>
        <v>0</v>
      </c>
      <c r="AC288" s="228">
        <f ca="1">IF(Table2[[#This Row],[Start Date]]&gt;TODAY(),1,)</f>
        <v>1</v>
      </c>
    </row>
    <row r="289" spans="1:29" s="215" customFormat="1">
      <c r="B289" s="250" t="s">
        <v>266</v>
      </c>
      <c r="C289" s="225" t="str">
        <f>VLOOKUP(Table2[[#This Row],[Course Title]],Data!$A$1:$E$56,2,FALSE)</f>
        <v>A-493-0331</v>
      </c>
      <c r="D289" s="225" t="str">
        <f>VLOOKUP(Table2[[#This Row],[Course Title]],Data!$A$1:$E$56,3,FALSE)</f>
        <v>10UG</v>
      </c>
      <c r="E289" s="224" t="s">
        <v>116</v>
      </c>
      <c r="F289" s="226">
        <v>45454</v>
      </c>
      <c r="G289" s="226">
        <v>45456</v>
      </c>
      <c r="H289" s="226"/>
      <c r="I289" s="244">
        <v>0.5</v>
      </c>
      <c r="J289" s="244">
        <v>0.375</v>
      </c>
      <c r="K289" s="244">
        <v>0.79166666666666663</v>
      </c>
      <c r="L289" s="244">
        <v>0.70833333333333337</v>
      </c>
      <c r="M289" s="244">
        <v>0.25</v>
      </c>
      <c r="N289" s="244">
        <v>4.1666666666666664E-2</v>
      </c>
      <c r="O289" s="213" t="e">
        <v>#REF!</v>
      </c>
      <c r="P289" s="213" t="e">
        <v>#REF!</v>
      </c>
      <c r="Q289" s="233"/>
      <c r="S289" s="224"/>
      <c r="T289" s="228">
        <f>VLOOKUP(Table2[[#This Row],[Course Title]],Data!$A$1:$E$56,4,FALSE)</f>
        <v>40</v>
      </c>
      <c r="U289" s="228">
        <f>VLOOKUP(Table2[[#This Row],[Course Title]],Data!$A$1:$E$56,5,FALSE)</f>
        <v>3</v>
      </c>
      <c r="V289" s="228"/>
      <c r="W289" s="218"/>
      <c r="X289" s="228"/>
      <c r="Y289" s="228"/>
      <c r="Z289" s="228"/>
      <c r="AA289" s="229">
        <f ca="1">Table2[[#This Row],[End Date]]+2-TODAY()</f>
        <v>59</v>
      </c>
      <c r="AB289" s="228">
        <f>IF(ISBLANK(#REF!),1,0)</f>
        <v>0</v>
      </c>
      <c r="AC289" s="228">
        <f ca="1">IF(Table2[[#This Row],[Start Date]]&gt;TODAY(),1,)</f>
        <v>1</v>
      </c>
    </row>
    <row r="290" spans="1:29" s="197" customFormat="1">
      <c r="A290" s="215"/>
      <c r="B290" s="254" t="s">
        <v>299</v>
      </c>
      <c r="C290" s="225" t="str">
        <f>VLOOKUP(Table2[[#This Row],[Course Title]],Data!$A$1:$E$56,2,FALSE)</f>
        <v>A-570-0100</v>
      </c>
      <c r="D290" s="225" t="str">
        <f>VLOOKUP(Table2[[#This Row],[Course Title]],Data!$A$1:$E$56,3,FALSE)</f>
        <v>18B7</v>
      </c>
      <c r="E290" s="224" t="s">
        <v>116</v>
      </c>
      <c r="F290" s="226">
        <v>45454</v>
      </c>
      <c r="G290" s="226">
        <v>45457</v>
      </c>
      <c r="H290" s="226"/>
      <c r="I290" s="244">
        <v>0.33333333333333331</v>
      </c>
      <c r="J290" s="244">
        <v>0.20833333333333334</v>
      </c>
      <c r="K290" s="244">
        <v>0.625</v>
      </c>
      <c r="L290" s="244">
        <v>0.54166666666666663</v>
      </c>
      <c r="M290" s="244">
        <v>8.3333333333333329E-2</v>
      </c>
      <c r="N290" s="244">
        <v>0.875</v>
      </c>
      <c r="O290" s="218" t="e">
        <v>#REF!</v>
      </c>
      <c r="P290" s="213" t="e">
        <v>#REF!</v>
      </c>
      <c r="Q290" s="218"/>
      <c r="R290" s="215"/>
      <c r="S290" s="215"/>
      <c r="T290" s="228">
        <f>VLOOKUP(Table2[[#This Row],[Course Title]],Data!$A$1:$E$56,4,FALSE)</f>
        <v>30</v>
      </c>
      <c r="U290" s="228">
        <f>VLOOKUP(Table2[[#This Row],[Course Title]],Data!$A$1:$E$56,5,FALSE)</f>
        <v>4</v>
      </c>
      <c r="V290" s="228"/>
      <c r="W290" s="218"/>
      <c r="X290" s="228"/>
      <c r="Y290" s="228"/>
      <c r="Z290" s="228"/>
      <c r="AA290" s="229">
        <f ca="1">Table2[[#This Row],[End Date]]+2-TODAY()</f>
        <v>60</v>
      </c>
      <c r="AB290" s="228">
        <f>IF(ISBLANK(#REF!),1,0)</f>
        <v>0</v>
      </c>
      <c r="AC290" s="228">
        <f ca="1">IF(Table2[[#This Row],[Start Date]]&gt;TODAY(),1,)</f>
        <v>1</v>
      </c>
    </row>
    <row r="291" spans="1:29" s="197" customFormat="1">
      <c r="A291" s="215"/>
      <c r="B291" s="254" t="s">
        <v>24</v>
      </c>
      <c r="C291" s="225" t="str">
        <f>VLOOKUP(Table2[[#This Row],[Course Title]],Data!$A$1:$E$56,2,FALSE)</f>
        <v>A-493-0083</v>
      </c>
      <c r="D291" s="225" t="str">
        <f>VLOOKUP(Table2[[#This Row],[Course Title]],Data!$A$1:$E$56,3,FALSE)</f>
        <v>339E</v>
      </c>
      <c r="E291" s="224" t="s">
        <v>116</v>
      </c>
      <c r="F291" s="239">
        <v>45460</v>
      </c>
      <c r="G291" s="239">
        <v>45460</v>
      </c>
      <c r="H291" s="239"/>
      <c r="I291" s="244">
        <v>8.3333333333333329E-2</v>
      </c>
      <c r="J291" s="244">
        <v>0.95833333333333337</v>
      </c>
      <c r="K291" s="244">
        <v>0.41666666666666669</v>
      </c>
      <c r="L291" s="244">
        <v>0.33333333333333331</v>
      </c>
      <c r="M291" s="244">
        <v>0.875</v>
      </c>
      <c r="N291" s="244">
        <v>0.66666666666666663</v>
      </c>
      <c r="O291" s="218" t="e">
        <v>#REF!</v>
      </c>
      <c r="P291" s="213" t="e">
        <v>#REF!</v>
      </c>
      <c r="Q291" s="218"/>
      <c r="R291" s="215"/>
      <c r="S291" s="215"/>
      <c r="T291" s="228">
        <f>VLOOKUP(Table2[[#This Row],[Course Title]],Data!$A$1:$E$56,4,FALSE)</f>
        <v>30</v>
      </c>
      <c r="U291" s="228">
        <f>VLOOKUP(Table2[[#This Row],[Course Title]],Data!$A$1:$E$56,5,FALSE)</f>
        <v>1</v>
      </c>
      <c r="V291" s="228"/>
      <c r="W291" s="218"/>
      <c r="X291" s="228"/>
      <c r="Y291" s="228"/>
      <c r="Z291" s="218"/>
      <c r="AA291" s="229">
        <f ca="1">Table2[[#This Row],[End Date]]+2-TODAY()</f>
        <v>63</v>
      </c>
      <c r="AB291" s="228">
        <f>IF(ISBLANK(#REF!),1,0)</f>
        <v>0</v>
      </c>
      <c r="AC291" s="228">
        <f ca="1">IF(Table2[[#This Row],[Start Date]]&gt;TODAY(),1,)</f>
        <v>1</v>
      </c>
    </row>
    <row r="292" spans="1:29" s="215" customFormat="1">
      <c r="A292" s="215" t="s">
        <v>491</v>
      </c>
      <c r="B292" s="250" t="s">
        <v>330</v>
      </c>
      <c r="C292" s="225" t="str">
        <f>VLOOKUP(Table2[[#This Row],[Course Title]],Data!$A$1:$E$56,2,FALSE)</f>
        <v>Holiday</v>
      </c>
      <c r="D292" s="225" t="str">
        <f>VLOOKUP(Table2[[#This Row],[Course Title]],Data!$A$1:$E$56,3,FALSE)</f>
        <v>Holiday</v>
      </c>
      <c r="E292" s="224"/>
      <c r="F292" s="226">
        <v>45462</v>
      </c>
      <c r="G292" s="226">
        <v>45462</v>
      </c>
      <c r="H292" s="227">
        <v>0</v>
      </c>
      <c r="I292" s="227">
        <v>0</v>
      </c>
      <c r="J292" s="227">
        <v>0</v>
      </c>
      <c r="K292" s="227">
        <v>0</v>
      </c>
      <c r="L292" s="227">
        <v>0</v>
      </c>
      <c r="M292" s="227">
        <v>0</v>
      </c>
      <c r="N292" s="227">
        <v>0</v>
      </c>
      <c r="O292" s="213" t="e">
        <v>#REF!</v>
      </c>
      <c r="P292" s="213" t="e">
        <v>#REF!</v>
      </c>
      <c r="Q292" s="214">
        <v>0</v>
      </c>
      <c r="R292" s="215">
        <v>0</v>
      </c>
      <c r="S292" s="215">
        <v>0</v>
      </c>
      <c r="T292" s="228">
        <f>VLOOKUP(Table2[[#This Row],[Course Title]],Data!$A$1:$E$56,4,FALSE)</f>
        <v>0</v>
      </c>
      <c r="U292" s="228">
        <f>VLOOKUP(Table2[[#This Row],[Course Title]],Data!$A$1:$E$56,5,FALSE)</f>
        <v>0</v>
      </c>
      <c r="V292" s="228">
        <v>0</v>
      </c>
      <c r="W292" s="218">
        <v>0</v>
      </c>
      <c r="X292" s="228">
        <v>0</v>
      </c>
      <c r="Y292" s="228">
        <v>0</v>
      </c>
      <c r="Z292" s="228">
        <v>0</v>
      </c>
      <c r="AA292" s="229">
        <f ca="1">Table2[[#This Row],[End Date]]+2-TODAY()</f>
        <v>65</v>
      </c>
      <c r="AB292" s="228">
        <f>IF(ISBLANK(#REF!),1,0)</f>
        <v>0</v>
      </c>
      <c r="AC292" s="228">
        <f ca="1">IF(Table2[[#This Row],[Start Date]]&gt;TODAY(),1,)</f>
        <v>1</v>
      </c>
    </row>
    <row r="293" spans="1:29" s="215" customFormat="1">
      <c r="B293" s="250" t="s">
        <v>17</v>
      </c>
      <c r="C293" s="225" t="str">
        <f>VLOOKUP(Table2[[#This Row],[Course Title]],Data!$A$1:$E$56,2,FALSE)</f>
        <v>A-493-0012</v>
      </c>
      <c r="D293" s="225">
        <f>VLOOKUP(Table2[[#This Row],[Course Title]],Data!$A$1:$E$56,3,FALSE)</f>
        <v>3682</v>
      </c>
      <c r="E293" s="224" t="s">
        <v>338</v>
      </c>
      <c r="F293" s="226">
        <v>45467</v>
      </c>
      <c r="G293" s="226">
        <v>45471</v>
      </c>
      <c r="H293" s="227">
        <v>0.33333333333333331</v>
      </c>
      <c r="I293" s="227"/>
      <c r="J293" s="227"/>
      <c r="K293" s="227"/>
      <c r="L293" s="227"/>
      <c r="M293" s="227"/>
      <c r="N293" s="226"/>
      <c r="O293" s="213" t="e">
        <v>#REF!</v>
      </c>
      <c r="P293" s="213" t="e">
        <v>#REF!</v>
      </c>
      <c r="Q293" s="214"/>
      <c r="T293" s="228">
        <f>VLOOKUP(Table2[[#This Row],[Course Title]],Data!$A$1:$E$56,4,FALSE)</f>
        <v>40</v>
      </c>
      <c r="U293" s="228">
        <f>VLOOKUP(Table2[[#This Row],[Course Title]],Data!$A$1:$E$56,5,FALSE)</f>
        <v>5</v>
      </c>
      <c r="V293" s="228"/>
      <c r="W293" s="218"/>
      <c r="X293" s="228"/>
      <c r="Y293" s="228"/>
      <c r="Z293" s="228"/>
      <c r="AA293" s="229">
        <f ca="1">Table2[[#This Row],[End Date]]+2-TODAY()</f>
        <v>74</v>
      </c>
      <c r="AB293" s="228">
        <f>IF(ISBLANK(#REF!),1,0)</f>
        <v>0</v>
      </c>
      <c r="AC293" s="228">
        <f ca="1">IF(Table2[[#This Row],[Start Date]]&gt;TODAY(),1,)</f>
        <v>1</v>
      </c>
    </row>
    <row r="294" spans="1:29" s="215" customFormat="1">
      <c r="B294" s="254" t="s">
        <v>17</v>
      </c>
      <c r="C294" s="225" t="str">
        <f>VLOOKUP(Table2[[#This Row],[Course Title]],Data!$A$1:$E$56,2,FALSE)</f>
        <v>A-493-0012</v>
      </c>
      <c r="D294" s="225">
        <f>VLOOKUP(Table2[[#This Row],[Course Title]],Data!$A$1:$E$56,3,FALSE)</f>
        <v>3682</v>
      </c>
      <c r="E294" s="224" t="s">
        <v>103</v>
      </c>
      <c r="F294" s="226">
        <v>45467</v>
      </c>
      <c r="G294" s="226">
        <v>45471</v>
      </c>
      <c r="H294" s="227">
        <v>0.33333333333333331</v>
      </c>
      <c r="I294" s="227"/>
      <c r="J294" s="227"/>
      <c r="K294" s="227"/>
      <c r="L294" s="227"/>
      <c r="M294" s="227"/>
      <c r="N294" s="226"/>
      <c r="O294" s="213" t="e">
        <v>#REF!</v>
      </c>
      <c r="P294" s="213" t="e">
        <v>#REF!</v>
      </c>
      <c r="Q294" s="214"/>
      <c r="T294" s="228">
        <f>VLOOKUP(Table2[[#This Row],[Course Title]],Data!$A$1:$E$56,4,FALSE)</f>
        <v>40</v>
      </c>
      <c r="U294" s="228">
        <f>VLOOKUP(Table2[[#This Row],[Course Title]],Data!$A$1:$E$56,5,FALSE)</f>
        <v>5</v>
      </c>
      <c r="V294" s="228"/>
      <c r="W294" s="218"/>
      <c r="X294" s="228"/>
      <c r="Y294" s="228"/>
      <c r="Z294" s="225"/>
      <c r="AA294" s="229">
        <f ca="1">Table2[[#This Row],[End Date]]+2-TODAY()</f>
        <v>74</v>
      </c>
      <c r="AB294" s="228">
        <f>IF(ISBLANK(#REF!),1,0)</f>
        <v>0</v>
      </c>
      <c r="AC294" s="228">
        <f ca="1">IF(Table2[[#This Row],[Start Date]]&gt;TODAY(),1,)</f>
        <v>1</v>
      </c>
    </row>
    <row r="295" spans="1:29" s="215" customFormat="1">
      <c r="B295" s="254" t="s">
        <v>38</v>
      </c>
      <c r="C295" s="225" t="str">
        <f>VLOOKUP(Table2[[#This Row],[Course Title]],Data!$A$1:$E$56,2,FALSE)</f>
        <v>A-493-0072</v>
      </c>
      <c r="D295" s="225" t="str">
        <f>VLOOKUP(Table2[[#This Row],[Course Title]],Data!$A$1:$E$56,3,FALSE)</f>
        <v>713U</v>
      </c>
      <c r="E295" s="224" t="s">
        <v>148</v>
      </c>
      <c r="F295" s="226">
        <v>45467</v>
      </c>
      <c r="G295" s="226">
        <v>45470</v>
      </c>
      <c r="H295" s="246">
        <v>0.33333333333333331</v>
      </c>
      <c r="I295" s="246"/>
      <c r="J295" s="226"/>
      <c r="K295" s="226"/>
      <c r="L295" s="226"/>
      <c r="M295" s="226"/>
      <c r="N295" s="226"/>
      <c r="O295" s="213" t="e">
        <v>#REF!</v>
      </c>
      <c r="P295" s="213" t="e">
        <v>#REF!</v>
      </c>
      <c r="Q295" s="214"/>
      <c r="T295" s="228">
        <f>VLOOKUP(Table2[[#This Row],[Course Title]],Data!$A$1:$E$56,4,FALSE)</f>
        <v>30</v>
      </c>
      <c r="U295" s="228">
        <f>VLOOKUP(Table2[[#This Row],[Course Title]],Data!$A$1:$E$56,5,FALSE)</f>
        <v>4</v>
      </c>
      <c r="V295" s="228"/>
      <c r="W295" s="218"/>
      <c r="X295" s="228"/>
      <c r="Y295" s="228"/>
      <c r="Z295" s="228"/>
      <c r="AA295" s="229">
        <f ca="1">Table2[[#This Row],[End Date]]+2-TODAY()</f>
        <v>73</v>
      </c>
      <c r="AB295" s="228">
        <f>IF(ISBLANK(#REF!),1,0)</f>
        <v>0</v>
      </c>
      <c r="AC295" s="228">
        <f ca="1">IF(Table2[[#This Row],[Start Date]]&gt;TODAY(),1,)</f>
        <v>1</v>
      </c>
    </row>
    <row r="296" spans="1:29" s="215" customFormat="1">
      <c r="B296" s="250" t="s">
        <v>184</v>
      </c>
      <c r="C296" s="225" t="str">
        <f>VLOOKUP(Table2[[#This Row],[Course Title]],Data!$A$1:$E$56,2,FALSE)</f>
        <v>A-4J-0022</v>
      </c>
      <c r="D296" s="225" t="str">
        <f>VLOOKUP(Table2[[#This Row],[Course Title]],Data!$A$1:$E$56,3,FALSE)</f>
        <v>09ER</v>
      </c>
      <c r="E296" s="224" t="s">
        <v>116</v>
      </c>
      <c r="F296" s="239">
        <v>45467</v>
      </c>
      <c r="G296" s="226">
        <v>45471</v>
      </c>
      <c r="H296" s="226"/>
      <c r="I296" s="244">
        <v>0.54166666666666663</v>
      </c>
      <c r="J296" s="244">
        <v>0.41666666666666669</v>
      </c>
      <c r="K296" s="244">
        <v>0.83333333333333337</v>
      </c>
      <c r="L296" s="244">
        <v>0.75</v>
      </c>
      <c r="M296" s="244">
        <v>0.29166666666666669</v>
      </c>
      <c r="N296" s="244">
        <v>8.3333333333333329E-2</v>
      </c>
      <c r="O296" s="218" t="e">
        <v>#REF!</v>
      </c>
      <c r="P296" s="213" t="e">
        <v>#REF!</v>
      </c>
      <c r="Q296" s="218"/>
      <c r="T296" s="228">
        <f>VLOOKUP(Table2[[#This Row],[Course Title]],Data!$A$1:$E$56,4,FALSE)</f>
        <v>45</v>
      </c>
      <c r="U296" s="228">
        <f>VLOOKUP(Table2[[#This Row],[Course Title]],Data!$A$1:$E$56,5,FALSE)</f>
        <v>5</v>
      </c>
      <c r="V296" s="228"/>
      <c r="W296" s="218"/>
      <c r="X296" s="228"/>
      <c r="Y296" s="228"/>
      <c r="Z296" s="228"/>
      <c r="AA296" s="229">
        <f ca="1">Table2[[#This Row],[End Date]]+2-TODAY()</f>
        <v>74</v>
      </c>
      <c r="AB296" s="228">
        <f>IF(ISBLANK(#REF!),1,0)</f>
        <v>0</v>
      </c>
      <c r="AC296" s="228">
        <f ca="1">IF(Table2[[#This Row],[Start Date]]&gt;TODAY(),1,)</f>
        <v>1</v>
      </c>
    </row>
    <row r="297" spans="1:29" s="215" customFormat="1">
      <c r="B297" s="250" t="s">
        <v>236</v>
      </c>
      <c r="C297" s="225" t="str">
        <f>VLOOKUP(Table2[[#This Row],[Course Title]],Data!$A$1:$E$56,2,FALSE)</f>
        <v>A-493-0103</v>
      </c>
      <c r="D297" s="225" t="str">
        <f>VLOOKUP(Table2[[#This Row],[Course Title]],Data!$A$1:$E$56,3,FALSE)</f>
        <v>12JY</v>
      </c>
      <c r="E297" s="224" t="s">
        <v>109</v>
      </c>
      <c r="F297" s="226">
        <v>45467</v>
      </c>
      <c r="G297" s="226">
        <v>45471</v>
      </c>
      <c r="H297" s="227">
        <v>0.33333333333333331</v>
      </c>
      <c r="I297" s="227"/>
      <c r="J297" s="226"/>
      <c r="K297" s="226"/>
      <c r="L297" s="226"/>
      <c r="M297" s="226"/>
      <c r="N297" s="226"/>
      <c r="O297" s="213" t="e">
        <v>#REF!</v>
      </c>
      <c r="P297" s="213" t="e">
        <v>#REF!</v>
      </c>
      <c r="Q297" s="214"/>
      <c r="T297" s="228">
        <f>VLOOKUP(Table2[[#This Row],[Course Title]],Data!$A$1:$E$56,4,FALSE)</f>
        <v>25</v>
      </c>
      <c r="U297" s="228">
        <f>VLOOKUP(Table2[[#This Row],[Course Title]],Data!$A$1:$E$56,5,FALSE)</f>
        <v>5</v>
      </c>
      <c r="V297" s="228"/>
      <c r="W297" s="218"/>
      <c r="X297" s="228"/>
      <c r="Y297" s="228"/>
      <c r="Z297" s="228"/>
      <c r="AA297" s="229">
        <f ca="1">Table2[[#This Row],[End Date]]+2-TODAY()</f>
        <v>74</v>
      </c>
      <c r="AB297" s="228">
        <f>IF(ISBLANK(#REF!),1,0)</f>
        <v>0</v>
      </c>
      <c r="AC297" s="228">
        <f ca="1">IF(Table2[[#This Row],[Start Date]]&gt;TODAY(),1,)</f>
        <v>1</v>
      </c>
    </row>
    <row r="298" spans="1:29" s="215" customFormat="1">
      <c r="A298" s="232"/>
      <c r="B298" s="250" t="s">
        <v>236</v>
      </c>
      <c r="C298" s="225" t="str">
        <f>VLOOKUP(Table2[[#This Row],[Course Title]],Data!$A$1:$E$56,2,FALSE)</f>
        <v>A-493-0103</v>
      </c>
      <c r="D298" s="225" t="str">
        <f>VLOOKUP(Table2[[#This Row],[Course Title]],Data!$A$1:$E$56,3,FALSE)</f>
        <v>12JY</v>
      </c>
      <c r="E298" s="232" t="s">
        <v>140</v>
      </c>
      <c r="F298" s="226">
        <v>45467</v>
      </c>
      <c r="G298" s="226">
        <v>45471</v>
      </c>
      <c r="H298" s="227">
        <v>0.33333333333333331</v>
      </c>
      <c r="I298" s="227"/>
      <c r="J298" s="226"/>
      <c r="K298" s="226"/>
      <c r="L298" s="226"/>
      <c r="M298" s="226"/>
      <c r="N298" s="226"/>
      <c r="O298" s="213" t="e">
        <v>#REF!</v>
      </c>
      <c r="P298" s="213" t="e">
        <v>#REF!</v>
      </c>
      <c r="Q298" s="233"/>
      <c r="S298" s="224"/>
      <c r="T298" s="228">
        <f>VLOOKUP(Table2[[#This Row],[Course Title]],Data!$A$1:$E$56,4,FALSE)</f>
        <v>25</v>
      </c>
      <c r="U298" s="228">
        <f>VLOOKUP(Table2[[#This Row],[Course Title]],Data!$A$1:$E$56,5,FALSE)</f>
        <v>5</v>
      </c>
      <c r="V298" s="228"/>
      <c r="W298" s="218"/>
      <c r="X298" s="228"/>
      <c r="Y298" s="228"/>
      <c r="Z298" s="228"/>
      <c r="AA298" s="229">
        <f ca="1">Table2[[#This Row],[End Date]]+2-TODAY()</f>
        <v>74</v>
      </c>
      <c r="AB298" s="228">
        <f>IF(ISBLANK(#REF!),1,0)</f>
        <v>0</v>
      </c>
      <c r="AC298" s="228">
        <f ca="1">IF(Table2[[#This Row],[Start Date]]&gt;TODAY(),1,)</f>
        <v>1</v>
      </c>
    </row>
    <row r="299" spans="1:29" s="215" customFormat="1">
      <c r="B299" s="250" t="s">
        <v>248</v>
      </c>
      <c r="C299" s="225" t="str">
        <f>VLOOKUP(Table2[[#This Row],[Course Title]],Data!$A$1:$E$56,2,FALSE)</f>
        <v>A-322-2604</v>
      </c>
      <c r="D299" s="225" t="str">
        <f>VLOOKUP(Table2[[#This Row],[Course Title]],Data!$A$1:$E$56,3,FALSE)</f>
        <v>10ZZ</v>
      </c>
      <c r="E299" s="224" t="s">
        <v>116</v>
      </c>
      <c r="F299" s="226">
        <v>45467</v>
      </c>
      <c r="G299" s="226">
        <v>45471</v>
      </c>
      <c r="H299" s="226"/>
      <c r="I299" s="244">
        <v>0.54166666666666663</v>
      </c>
      <c r="J299" s="244">
        <v>0.41666666666666669</v>
      </c>
      <c r="K299" s="244">
        <v>0.83333333333333337</v>
      </c>
      <c r="L299" s="244">
        <v>0.75</v>
      </c>
      <c r="M299" s="244">
        <v>0.29166666666666669</v>
      </c>
      <c r="N299" s="244">
        <v>8.3333333333333329E-2</v>
      </c>
      <c r="O299" s="218" t="e">
        <v>#REF!</v>
      </c>
      <c r="P299" s="213" t="e">
        <v>#REF!</v>
      </c>
      <c r="Q299" s="218"/>
      <c r="T299" s="228">
        <f>VLOOKUP(Table2[[#This Row],[Course Title]],Data!$A$1:$E$56,4,FALSE)</f>
        <v>45</v>
      </c>
      <c r="U299" s="228">
        <f>VLOOKUP(Table2[[#This Row],[Course Title]],Data!$A$1:$E$56,5,FALSE)</f>
        <v>5</v>
      </c>
      <c r="V299" s="228"/>
      <c r="W299" s="218"/>
      <c r="X299" s="228"/>
      <c r="Y299" s="228"/>
      <c r="Z299" s="228"/>
      <c r="AA299" s="229">
        <f ca="1">Table2[[#This Row],[End Date]]+2-TODAY()</f>
        <v>74</v>
      </c>
      <c r="AB299" s="228">
        <f>IF(ISBLANK(#REF!),1,0)</f>
        <v>0</v>
      </c>
      <c r="AC299" s="228">
        <f ca="1">IF(Table2[[#This Row],[Start Date]]&gt;TODAY(),1,)</f>
        <v>1</v>
      </c>
    </row>
    <row r="300" spans="1:29" s="215" customFormat="1">
      <c r="B300" s="250" t="s">
        <v>270</v>
      </c>
      <c r="C300" s="225" t="str">
        <f>VLOOKUP(Table2[[#This Row],[Course Title]],Data!$A$1:$E$56,2,FALSE)</f>
        <v>A-493-0335</v>
      </c>
      <c r="D300" s="225" t="str">
        <f>VLOOKUP(Table2[[#This Row],[Course Title]],Data!$A$1:$E$56,3,FALSE)</f>
        <v>09ND</v>
      </c>
      <c r="E300" s="224" t="s">
        <v>116</v>
      </c>
      <c r="F300" s="226">
        <v>45467</v>
      </c>
      <c r="G300" s="226">
        <v>45470</v>
      </c>
      <c r="H300" s="226"/>
      <c r="I300" s="244">
        <v>0.5</v>
      </c>
      <c r="J300" s="244">
        <v>0.375</v>
      </c>
      <c r="K300" s="244">
        <v>0.79166666666666663</v>
      </c>
      <c r="L300" s="244">
        <v>0.70833333333333337</v>
      </c>
      <c r="M300" s="244">
        <v>0.25</v>
      </c>
      <c r="N300" s="244">
        <v>4.1666666666666664E-2</v>
      </c>
      <c r="O300" s="213" t="e">
        <v>#REF!</v>
      </c>
      <c r="P300" s="213" t="e">
        <v>#REF!</v>
      </c>
      <c r="Q300" s="213"/>
      <c r="T300" s="228">
        <f>VLOOKUP(Table2[[#This Row],[Course Title]],Data!$A$1:$E$56,4,FALSE)</f>
        <v>30</v>
      </c>
      <c r="U300" s="228">
        <f>VLOOKUP(Table2[[#This Row],[Course Title]],Data!$A$1:$E$56,5,FALSE)</f>
        <v>4</v>
      </c>
      <c r="V300" s="228"/>
      <c r="W300" s="218"/>
      <c r="X300" s="228"/>
      <c r="Y300" s="228"/>
      <c r="Z300" s="228"/>
      <c r="AA300" s="229">
        <f ca="1">Table2[[#This Row],[End Date]]+2-TODAY()</f>
        <v>73</v>
      </c>
      <c r="AB300" s="228">
        <f>IF(ISBLANK(#REF!),1,0)</f>
        <v>0</v>
      </c>
      <c r="AC300" s="228">
        <f ca="1">IF(Table2[[#This Row],[Start Date]]&gt;TODAY(),1,)</f>
        <v>1</v>
      </c>
    </row>
    <row r="301" spans="1:29" s="215" customFormat="1">
      <c r="B301" s="250" t="s">
        <v>276</v>
      </c>
      <c r="C301" s="225" t="str">
        <f>VLOOKUP(Table2[[#This Row],[Course Title]],Data!$A$1:$E$56,2,FALSE)</f>
        <v>A-493-0550</v>
      </c>
      <c r="D301" s="225" t="str">
        <f>VLOOKUP(Table2[[#This Row],[Course Title]],Data!$A$1:$E$56,3,FALSE)</f>
        <v>09K5</v>
      </c>
      <c r="E301" s="224" t="s">
        <v>116</v>
      </c>
      <c r="F301" s="226">
        <v>45467</v>
      </c>
      <c r="G301" s="226">
        <v>45471</v>
      </c>
      <c r="H301" s="226"/>
      <c r="I301" s="244">
        <v>0.41666666666666669</v>
      </c>
      <c r="J301" s="244">
        <v>0.29166666666666669</v>
      </c>
      <c r="K301" s="244">
        <v>0.70833333333333337</v>
      </c>
      <c r="L301" s="244">
        <v>0.625</v>
      </c>
      <c r="M301" s="244">
        <v>0.16666666666666666</v>
      </c>
      <c r="N301" s="244">
        <v>0.95833333333333337</v>
      </c>
      <c r="O301" s="213" t="e">
        <v>#REF!</v>
      </c>
      <c r="P301" s="213" t="e">
        <v>#REF!</v>
      </c>
      <c r="Q301" s="214"/>
      <c r="T301" s="228">
        <f>VLOOKUP(Table2[[#This Row],[Course Title]],Data!$A$1:$E$56,4,FALSE)</f>
        <v>45</v>
      </c>
      <c r="U301" s="228">
        <f>VLOOKUP(Table2[[#This Row],[Course Title]],Data!$A$1:$E$56,5,FALSE)</f>
        <v>4</v>
      </c>
      <c r="V301" s="228"/>
      <c r="W301" s="218"/>
      <c r="X301" s="228"/>
      <c r="Y301" s="228"/>
      <c r="Z301" s="228"/>
      <c r="AA301" s="229">
        <f ca="1">Table2[[#This Row],[End Date]]+2-TODAY()</f>
        <v>74</v>
      </c>
      <c r="AB301" s="228">
        <f>IF(ISBLANK(#REF!),1,0)</f>
        <v>0</v>
      </c>
      <c r="AC301" s="228">
        <f ca="1">IF(Table2[[#This Row],[Start Date]]&gt;TODAY(),1,)</f>
        <v>1</v>
      </c>
    </row>
    <row r="302" spans="1:29" s="215" customFormat="1">
      <c r="B302" s="254" t="s">
        <v>287</v>
      </c>
      <c r="C302" s="225" t="str">
        <f>VLOOKUP(Table2[[#This Row],[Course Title]],Data!$A$1:$E$56,2,FALSE)</f>
        <v>A-493-0078</v>
      </c>
      <c r="D302" s="225">
        <f>VLOOKUP(Table2[[#This Row],[Course Title]],Data!$A$1:$E$56,3,FALSE)</f>
        <v>1228</v>
      </c>
      <c r="E302" s="224" t="s">
        <v>116</v>
      </c>
      <c r="F302" s="226">
        <v>45467</v>
      </c>
      <c r="G302" s="226">
        <v>45471</v>
      </c>
      <c r="H302" s="226"/>
      <c r="I302" s="244">
        <v>0.33333333333333331</v>
      </c>
      <c r="J302" s="244">
        <v>0.20833333333333334</v>
      </c>
      <c r="K302" s="244">
        <v>0.625</v>
      </c>
      <c r="L302" s="244">
        <v>0.54166666666666663</v>
      </c>
      <c r="M302" s="244">
        <v>8.3333333333333329E-2</v>
      </c>
      <c r="N302" s="244">
        <v>0.875</v>
      </c>
      <c r="O302" s="213" t="e">
        <v>#REF!</v>
      </c>
      <c r="P302" s="213" t="e">
        <v>#REF!</v>
      </c>
      <c r="Q302" s="214"/>
      <c r="T302" s="228">
        <f>VLOOKUP(Table2[[#This Row],[Course Title]],Data!$A$1:$E$56,4,FALSE)</f>
        <v>45</v>
      </c>
      <c r="U302" s="228">
        <f>VLOOKUP(Table2[[#This Row],[Course Title]],Data!$A$1:$E$56,5,FALSE)</f>
        <v>5</v>
      </c>
      <c r="V302" s="228"/>
      <c r="W302" s="218"/>
      <c r="X302" s="228"/>
      <c r="Y302" s="228"/>
      <c r="Z302" s="228"/>
      <c r="AA302" s="229">
        <f ca="1">Table2[[#This Row],[End Date]]+2-TODAY()</f>
        <v>74</v>
      </c>
      <c r="AB302" s="228">
        <f>IF(ISBLANK(#REF!),1,0)</f>
        <v>0</v>
      </c>
      <c r="AC302" s="228">
        <f ca="1">IF(Table2[[#This Row],[Start Date]]&gt;TODAY(),1,)</f>
        <v>1</v>
      </c>
    </row>
    <row r="303" spans="1:29" s="215" customFormat="1">
      <c r="B303" s="254" t="s">
        <v>299</v>
      </c>
      <c r="C303" s="225" t="str">
        <f>VLOOKUP(Table2[[#This Row],[Course Title]],Data!$A$1:$E$56,2,FALSE)</f>
        <v>A-570-0100</v>
      </c>
      <c r="D303" s="225" t="str">
        <f>VLOOKUP(Table2[[#This Row],[Course Title]],Data!$A$1:$E$56,3,FALSE)</f>
        <v>18B7</v>
      </c>
      <c r="E303" s="224" t="s">
        <v>116</v>
      </c>
      <c r="F303" s="226">
        <v>45467</v>
      </c>
      <c r="G303" s="226">
        <v>45470</v>
      </c>
      <c r="H303" s="226"/>
      <c r="I303" s="244">
        <v>0.54166666666666663</v>
      </c>
      <c r="J303" s="244">
        <v>0.41666666666666669</v>
      </c>
      <c r="K303" s="244">
        <v>0.83333333333333337</v>
      </c>
      <c r="L303" s="244">
        <v>0.75</v>
      </c>
      <c r="M303" s="244">
        <v>0.29166666666666669</v>
      </c>
      <c r="N303" s="244">
        <v>8.3333333333333329E-2</v>
      </c>
      <c r="O303" s="218" t="e">
        <v>#REF!</v>
      </c>
      <c r="P303" s="213" t="e">
        <v>#REF!</v>
      </c>
      <c r="Q303" s="218"/>
      <c r="T303" s="228">
        <f>VLOOKUP(Table2[[#This Row],[Course Title]],Data!$A$1:$E$56,4,FALSE)</f>
        <v>30</v>
      </c>
      <c r="U303" s="228">
        <f>VLOOKUP(Table2[[#This Row],[Course Title]],Data!$A$1:$E$56,5,FALSE)</f>
        <v>4</v>
      </c>
      <c r="V303" s="228"/>
      <c r="W303" s="218"/>
      <c r="X303" s="228"/>
      <c r="Y303" s="228"/>
      <c r="Z303" s="228"/>
      <c r="AA303" s="229">
        <f ca="1">Table2[[#This Row],[End Date]]+2-TODAY()</f>
        <v>73</v>
      </c>
      <c r="AB303" s="228">
        <f>IF(ISBLANK(#REF!),1,0)</f>
        <v>0</v>
      </c>
      <c r="AC303" s="228">
        <f ca="1">IF(Table2[[#This Row],[Start Date]]&gt;TODAY(),1,)</f>
        <v>1</v>
      </c>
    </row>
    <row r="304" spans="1:29" s="215" customFormat="1">
      <c r="B304" s="254" t="s">
        <v>19</v>
      </c>
      <c r="C304" s="225" t="str">
        <f>VLOOKUP(Table2[[#This Row],[Course Title]],Data!$A$1:$E$56,2,FALSE)</f>
        <v>A-493-0099</v>
      </c>
      <c r="D304" s="225" t="str">
        <f>VLOOKUP(Table2[[#This Row],[Course Title]],Data!$A$1:$E$56,3,FALSE)</f>
        <v>12JW</v>
      </c>
      <c r="E304" s="224" t="s">
        <v>116</v>
      </c>
      <c r="F304" s="226">
        <v>45468</v>
      </c>
      <c r="G304" s="226">
        <v>45470</v>
      </c>
      <c r="H304" s="226"/>
      <c r="I304" s="244">
        <v>0.54166666666666663</v>
      </c>
      <c r="J304" s="244">
        <v>0.41666666666666669</v>
      </c>
      <c r="K304" s="244">
        <v>0.83333333333333337</v>
      </c>
      <c r="L304" s="244">
        <v>0.75</v>
      </c>
      <c r="M304" s="244">
        <v>0.29166666666666669</v>
      </c>
      <c r="N304" s="244">
        <v>8.3333333333333329E-2</v>
      </c>
      <c r="O304" s="213" t="e">
        <v>#REF!</v>
      </c>
      <c r="P304" s="213" t="e">
        <v>#REF!</v>
      </c>
      <c r="Q304" s="214"/>
      <c r="T304" s="228">
        <f>VLOOKUP(Table2[[#This Row],[Course Title]],Data!$A$1:$E$56,4,FALSE)</f>
        <v>45</v>
      </c>
      <c r="U304" s="228">
        <f>VLOOKUP(Table2[[#This Row],[Course Title]],Data!$A$1:$E$56,5,FALSE)</f>
        <v>3</v>
      </c>
      <c r="V304" s="228"/>
      <c r="W304" s="218"/>
      <c r="X304" s="228"/>
      <c r="Y304" s="228"/>
      <c r="Z304" s="228"/>
      <c r="AA304" s="229">
        <f ca="1">Table2[[#This Row],[End Date]]+2-TODAY()</f>
        <v>73</v>
      </c>
      <c r="AB304" s="228">
        <f>IF(ISBLANK(#REF!),1,0)</f>
        <v>0</v>
      </c>
      <c r="AC304" s="228">
        <f ca="1">IF(Table2[[#This Row],[Start Date]]&gt;TODAY(),1,)</f>
        <v>1</v>
      </c>
    </row>
    <row r="305" spans="1:29" s="215" customFormat="1">
      <c r="B305" s="254" t="s">
        <v>284</v>
      </c>
      <c r="C305" s="225" t="str">
        <f>VLOOKUP(Table2[[#This Row],[Course Title]],Data!$A$1:$E$56,2,FALSE)</f>
        <v>A-493-0073</v>
      </c>
      <c r="D305" s="225" t="str">
        <f>VLOOKUP(Table2[[#This Row],[Course Title]],Data!$A$1:$E$56,3,FALSE)</f>
        <v>714S</v>
      </c>
      <c r="E305" s="224" t="s">
        <v>116</v>
      </c>
      <c r="F305" s="226">
        <v>45468</v>
      </c>
      <c r="G305" s="226">
        <v>45471</v>
      </c>
      <c r="H305" s="226"/>
      <c r="I305" s="244">
        <v>0.79166666666666663</v>
      </c>
      <c r="J305" s="244">
        <v>0.66666666666666663</v>
      </c>
      <c r="K305" s="244">
        <v>8.3333333333333329E-2</v>
      </c>
      <c r="L305" s="244">
        <v>0</v>
      </c>
      <c r="M305" s="244">
        <v>0.54166666666666663</v>
      </c>
      <c r="N305" s="244">
        <v>0.33333333333333331</v>
      </c>
      <c r="O305" s="213" t="e">
        <v>#REF!</v>
      </c>
      <c r="P305" s="213" t="e">
        <v>#REF!</v>
      </c>
      <c r="Q305" s="214"/>
      <c r="T305" s="228">
        <f>VLOOKUP(Table2[[#This Row],[Course Title]],Data!$A$1:$E$56,4,FALSE)</f>
        <v>30</v>
      </c>
      <c r="U305" s="228">
        <f>VLOOKUP(Table2[[#This Row],[Course Title]],Data!$A$1:$E$56,5,FALSE)</f>
        <v>4</v>
      </c>
      <c r="V305" s="228"/>
      <c r="W305" s="218"/>
      <c r="X305" s="228"/>
      <c r="Y305" s="228"/>
      <c r="Z305" s="218"/>
      <c r="AA305" s="229">
        <f ca="1">Table2[[#This Row],[End Date]]+2-TODAY()</f>
        <v>74</v>
      </c>
      <c r="AB305" s="228">
        <f>IF(ISBLANK(#REF!),1,0)</f>
        <v>0</v>
      </c>
      <c r="AC305" s="228">
        <f ca="1">IF(Table2[[#This Row],[Start Date]]&gt;TODAY(),1,)</f>
        <v>1</v>
      </c>
    </row>
    <row r="306" spans="1:29" s="215" customFormat="1">
      <c r="B306" s="254" t="s">
        <v>35</v>
      </c>
      <c r="C306" s="225" t="str">
        <f>VLOOKUP(Table2[[#This Row],[Course Title]],Data!$A$1:$E$56,2,FALSE)</f>
        <v>A-493-2501</v>
      </c>
      <c r="D306" s="225" t="str">
        <f>VLOOKUP(Table2[[#This Row],[Course Title]],Data!$A$1:$E$56,3,FALSE)</f>
        <v>05ZE</v>
      </c>
      <c r="E306" s="224" t="s">
        <v>355</v>
      </c>
      <c r="F306" s="226">
        <v>45469</v>
      </c>
      <c r="G306" s="226">
        <v>45469</v>
      </c>
      <c r="H306" s="227">
        <v>0.33333333333333331</v>
      </c>
      <c r="I306" s="227"/>
      <c r="J306" s="226"/>
      <c r="K306" s="226"/>
      <c r="L306" s="226"/>
      <c r="M306" s="226"/>
      <c r="N306" s="226"/>
      <c r="O306" s="218"/>
      <c r="P306" s="213"/>
      <c r="Q306" s="218"/>
      <c r="T306" s="218">
        <v>30</v>
      </c>
      <c r="U306" s="213">
        <v>1</v>
      </c>
      <c r="V306" s="218"/>
      <c r="W306" s="218"/>
      <c r="X306" s="228"/>
      <c r="Y306" s="228"/>
      <c r="Z306" s="225"/>
      <c r="AA306" s="241">
        <f ca="1">Table2[[#This Row],[End Date]]+2-TODAY()</f>
        <v>72</v>
      </c>
      <c r="AB306" s="228">
        <f>IF(ISBLANK(#REF!),1,0)</f>
        <v>0</v>
      </c>
      <c r="AC306" s="225">
        <f ca="1">IF(Table2[[#This Row],[Start Date]]&gt;TODAY(),1,)</f>
        <v>1</v>
      </c>
    </row>
    <row r="307" spans="1:29" s="215" customFormat="1">
      <c r="A307" s="215" t="s">
        <v>492</v>
      </c>
      <c r="B307" s="254" t="s">
        <v>333</v>
      </c>
      <c r="C307" s="225" t="str">
        <f>VLOOKUP(Table2[[#This Row],[Course Title]],Data!$A$1:$E$56,2,FALSE)</f>
        <v>NA</v>
      </c>
      <c r="D307" s="225" t="str">
        <f>VLOOKUP(Table2[[#This Row],[Course Title]],Data!$A$1:$E$56,3,FALSE)</f>
        <v>NA</v>
      </c>
      <c r="E307" s="224"/>
      <c r="F307" s="226">
        <v>45476</v>
      </c>
      <c r="G307" s="226">
        <v>45476</v>
      </c>
      <c r="H307" s="227">
        <v>0.54166666666666663</v>
      </c>
      <c r="I307" s="227"/>
      <c r="J307" s="226"/>
      <c r="K307" s="226"/>
      <c r="L307" s="226"/>
      <c r="M307" s="226"/>
      <c r="N307" s="226"/>
      <c r="O307" s="213" t="e">
        <v>#REF!</v>
      </c>
      <c r="P307" s="213" t="e">
        <v>#REF!</v>
      </c>
      <c r="Q307" s="214">
        <v>0</v>
      </c>
      <c r="R307" s="215">
        <v>0</v>
      </c>
      <c r="S307" s="215">
        <v>0</v>
      </c>
      <c r="T307" s="228">
        <f>VLOOKUP(Table2[[#This Row],[Course Title]],Data!$A$1:$E$56,4,FALSE)</f>
        <v>0</v>
      </c>
      <c r="U307" s="228">
        <f>VLOOKUP(Table2[[#This Row],[Course Title]],Data!$A$1:$E$56,5,FALSE)</f>
        <v>0</v>
      </c>
      <c r="V307" s="228">
        <v>0</v>
      </c>
      <c r="W307" s="218">
        <v>0</v>
      </c>
      <c r="X307" s="228">
        <v>0</v>
      </c>
      <c r="Y307" s="228">
        <v>0</v>
      </c>
      <c r="Z307" s="228">
        <v>0</v>
      </c>
      <c r="AA307" s="229">
        <f ca="1">Table2[[#This Row],[End Date]]+2-TODAY()</f>
        <v>79</v>
      </c>
      <c r="AB307" s="228">
        <f>IF(ISBLANK(#REF!),1,0)</f>
        <v>0</v>
      </c>
      <c r="AC307" s="228">
        <f ca="1">IF(Table2[[#This Row],[Start Date]]&gt;TODAY(),1,)</f>
        <v>1</v>
      </c>
    </row>
    <row r="308" spans="1:29" s="215" customFormat="1">
      <c r="A308" s="215" t="s">
        <v>493</v>
      </c>
      <c r="B308" s="254" t="s">
        <v>330</v>
      </c>
      <c r="C308" s="225" t="str">
        <f>VLOOKUP(Table2[[#This Row],[Course Title]],Data!$A$1:$E$56,2,FALSE)</f>
        <v>Holiday</v>
      </c>
      <c r="D308" s="225" t="str">
        <f>VLOOKUP(Table2[[#This Row],[Course Title]],Data!$A$1:$E$56,3,FALSE)</f>
        <v>Holiday</v>
      </c>
      <c r="E308" s="224"/>
      <c r="F308" s="226">
        <v>45477</v>
      </c>
      <c r="G308" s="226">
        <v>45477</v>
      </c>
      <c r="H308" s="227">
        <v>0</v>
      </c>
      <c r="I308" s="227">
        <v>0</v>
      </c>
      <c r="J308" s="227">
        <v>0</v>
      </c>
      <c r="K308" s="227">
        <v>0</v>
      </c>
      <c r="L308" s="227">
        <v>0</v>
      </c>
      <c r="M308" s="227">
        <v>0</v>
      </c>
      <c r="N308" s="227">
        <v>0</v>
      </c>
      <c r="O308" s="213" t="e">
        <v>#REF!</v>
      </c>
      <c r="P308" s="213" t="e">
        <v>#REF!</v>
      </c>
      <c r="Q308" s="214">
        <v>0</v>
      </c>
      <c r="R308" s="215">
        <v>0</v>
      </c>
      <c r="S308" s="215">
        <v>0</v>
      </c>
      <c r="T308" s="228">
        <f>VLOOKUP(Table2[[#This Row],[Course Title]],Data!$A$1:$E$56,4,FALSE)</f>
        <v>0</v>
      </c>
      <c r="U308" s="228">
        <f>VLOOKUP(Table2[[#This Row],[Course Title]],Data!$A$1:$E$56,5,FALSE)</f>
        <v>0</v>
      </c>
      <c r="V308" s="228">
        <v>0</v>
      </c>
      <c r="W308" s="218">
        <v>0</v>
      </c>
      <c r="X308" s="228">
        <v>0</v>
      </c>
      <c r="Y308" s="228">
        <v>0</v>
      </c>
      <c r="Z308" s="228">
        <v>0</v>
      </c>
      <c r="AA308" s="229">
        <f ca="1">Table2[[#This Row],[End Date]]+2-TODAY()</f>
        <v>80</v>
      </c>
      <c r="AB308" s="228">
        <f>IF(ISBLANK(#REF!),1,0)</f>
        <v>0</v>
      </c>
      <c r="AC308" s="228">
        <f ca="1">IF(Table2[[#This Row],[Start Date]]&gt;TODAY(),1,)</f>
        <v>1</v>
      </c>
    </row>
    <row r="309" spans="1:29" s="215" customFormat="1">
      <c r="B309" s="254" t="s">
        <v>242</v>
      </c>
      <c r="C309" s="225" t="str">
        <f>VLOOKUP(Table2[[#This Row],[Course Title]],Data!$A$1:$E$56,2,FALSE)</f>
        <v>A-493-0061</v>
      </c>
      <c r="D309" s="225" t="str">
        <f>VLOOKUP(Table2[[#This Row],[Course Title]],Data!$A$1:$E$56,3,FALSE)</f>
        <v>288E</v>
      </c>
      <c r="E309" s="224" t="s">
        <v>116</v>
      </c>
      <c r="F309" s="226">
        <v>45481</v>
      </c>
      <c r="G309" s="226">
        <v>45485</v>
      </c>
      <c r="H309" s="226"/>
      <c r="I309" s="244">
        <v>0.79166666666666663</v>
      </c>
      <c r="J309" s="244">
        <v>0.66666666666666663</v>
      </c>
      <c r="K309" s="244">
        <v>8.3333333333333329E-2</v>
      </c>
      <c r="L309" s="244">
        <v>0</v>
      </c>
      <c r="M309" s="244">
        <v>0.54166666666666663</v>
      </c>
      <c r="N309" s="244">
        <v>0.33333333333333331</v>
      </c>
      <c r="O309" s="213" t="e">
        <v>#REF!</v>
      </c>
      <c r="P309" s="213" t="e">
        <v>#REF!</v>
      </c>
      <c r="Q309" s="214"/>
      <c r="T309" s="228">
        <f>VLOOKUP(Table2[[#This Row],[Course Title]],Data!$A$1:$E$56,4,FALSE)</f>
        <v>45</v>
      </c>
      <c r="U309" s="228">
        <f>VLOOKUP(Table2[[#This Row],[Course Title]],Data!$A$1:$E$56,5,FALSE)</f>
        <v>5</v>
      </c>
      <c r="V309" s="228"/>
      <c r="W309" s="218"/>
      <c r="X309" s="228"/>
      <c r="Y309" s="228"/>
      <c r="Z309" s="228"/>
      <c r="AA309" s="229">
        <f ca="1">Table2[[#This Row],[End Date]]+2-TODAY()</f>
        <v>88</v>
      </c>
      <c r="AB309" s="228">
        <f>IF(ISBLANK(#REF!),1,0)</f>
        <v>0</v>
      </c>
      <c r="AC309" s="228">
        <f ca="1">IF(Table2[[#This Row],[Start Date]]&gt;TODAY(),1,)</f>
        <v>1</v>
      </c>
    </row>
    <row r="310" spans="1:29" s="215" customFormat="1">
      <c r="B310" s="254" t="s">
        <v>38</v>
      </c>
      <c r="C310" s="225" t="str">
        <f>VLOOKUP(Table2[[#This Row],[Course Title]],Data!$A$1:$E$56,2,FALSE)</f>
        <v>A-493-0072</v>
      </c>
      <c r="D310" s="225" t="str">
        <f>VLOOKUP(Table2[[#This Row],[Course Title]],Data!$A$1:$E$56,3,FALSE)</f>
        <v>713U</v>
      </c>
      <c r="E310" s="224" t="s">
        <v>121</v>
      </c>
      <c r="F310" s="226">
        <v>45481</v>
      </c>
      <c r="G310" s="226">
        <v>45484</v>
      </c>
      <c r="H310" s="246">
        <v>0.33333333333333331</v>
      </c>
      <c r="I310" s="246"/>
      <c r="J310" s="226"/>
      <c r="K310" s="226"/>
      <c r="L310" s="226"/>
      <c r="M310" s="226"/>
      <c r="N310" s="226"/>
      <c r="O310" s="213" t="e">
        <v>#REF!</v>
      </c>
      <c r="P310" s="213" t="e">
        <v>#REF!</v>
      </c>
      <c r="Q310" s="214"/>
      <c r="T310" s="228">
        <f>VLOOKUP(Table2[[#This Row],[Course Title]],Data!$A$1:$E$56,4,FALSE)</f>
        <v>30</v>
      </c>
      <c r="U310" s="228">
        <f>VLOOKUP(Table2[[#This Row],[Course Title]],Data!$A$1:$E$56,5,FALSE)</f>
        <v>4</v>
      </c>
      <c r="V310" s="228"/>
      <c r="W310" s="218"/>
      <c r="X310" s="228"/>
      <c r="Y310" s="228"/>
      <c r="Z310" s="228"/>
      <c r="AA310" s="229">
        <f ca="1">Table2[[#This Row],[End Date]]+2-TODAY()</f>
        <v>87</v>
      </c>
      <c r="AB310" s="228">
        <f>IF(ISBLANK(#REF!),1,0)</f>
        <v>0</v>
      </c>
      <c r="AC310" s="228">
        <f ca="1">IF(Table2[[#This Row],[Start Date]]&gt;TODAY(),1,)</f>
        <v>1</v>
      </c>
    </row>
    <row r="311" spans="1:29" s="215" customFormat="1">
      <c r="B311" s="254" t="s">
        <v>184</v>
      </c>
      <c r="C311" s="225" t="str">
        <f>VLOOKUP(Table2[[#This Row],[Course Title]],Data!$A$1:$E$56,2,FALSE)</f>
        <v>A-4J-0022</v>
      </c>
      <c r="D311" s="225" t="str">
        <f>VLOOKUP(Table2[[#This Row],[Course Title]],Data!$A$1:$E$56,3,FALSE)</f>
        <v>09ER</v>
      </c>
      <c r="E311" s="224" t="s">
        <v>116</v>
      </c>
      <c r="F311" s="243">
        <v>45481</v>
      </c>
      <c r="G311" s="245">
        <v>45485</v>
      </c>
      <c r="H311" s="226"/>
      <c r="I311" s="244">
        <v>0.54166666666666663</v>
      </c>
      <c r="J311" s="244">
        <v>0.41666666666666669</v>
      </c>
      <c r="K311" s="244">
        <v>0.83333333333333337</v>
      </c>
      <c r="L311" s="244">
        <v>0.75</v>
      </c>
      <c r="M311" s="244">
        <v>0.29166666666666669</v>
      </c>
      <c r="N311" s="244">
        <v>8.3333333333333329E-2</v>
      </c>
      <c r="O311" s="218" t="e">
        <v>#REF!</v>
      </c>
      <c r="P311" s="213" t="e">
        <v>#REF!</v>
      </c>
      <c r="Q311" s="218"/>
      <c r="T311" s="228">
        <f>VLOOKUP(Table2[[#This Row],[Course Title]],Data!$A$1:$E$56,4,FALSE)</f>
        <v>45</v>
      </c>
      <c r="U311" s="228">
        <f>VLOOKUP(Table2[[#This Row],[Course Title]],Data!$A$1:$E$56,5,FALSE)</f>
        <v>5</v>
      </c>
      <c r="V311" s="228"/>
      <c r="W311" s="218"/>
      <c r="X311" s="228"/>
      <c r="Y311" s="228"/>
      <c r="Z311" s="228"/>
      <c r="AA311" s="229">
        <f ca="1">Table2[[#This Row],[End Date]]+2-TODAY()</f>
        <v>88</v>
      </c>
      <c r="AB311" s="228">
        <f>IF(ISBLANK(#REF!),1,0)</f>
        <v>0</v>
      </c>
      <c r="AC311" s="228">
        <f ca="1">IF(Table2[[#This Row],[Start Date]]&gt;TODAY(),1,)</f>
        <v>1</v>
      </c>
    </row>
    <row r="312" spans="1:29" s="215" customFormat="1">
      <c r="B312" s="254" t="s">
        <v>276</v>
      </c>
      <c r="C312" s="225" t="str">
        <f>VLOOKUP(Table2[[#This Row],[Course Title]],Data!$A$1:$E$56,2,FALSE)</f>
        <v>A-493-0550</v>
      </c>
      <c r="D312" s="225" t="str">
        <f>VLOOKUP(Table2[[#This Row],[Course Title]],Data!$A$1:$E$56,3,FALSE)</f>
        <v>09K5</v>
      </c>
      <c r="E312" s="224" t="s">
        <v>116</v>
      </c>
      <c r="F312" s="245">
        <v>45481</v>
      </c>
      <c r="G312" s="245">
        <v>45485</v>
      </c>
      <c r="H312" s="226"/>
      <c r="I312" s="244">
        <v>0.54166666666666663</v>
      </c>
      <c r="J312" s="244">
        <v>0.41666666666666669</v>
      </c>
      <c r="K312" s="244">
        <v>0.83333333333333337</v>
      </c>
      <c r="L312" s="244">
        <v>0.75</v>
      </c>
      <c r="M312" s="244">
        <v>0.29166666666666669</v>
      </c>
      <c r="N312" s="244">
        <v>8.3333333333333329E-2</v>
      </c>
      <c r="O312" s="213" t="e">
        <v>#REF!</v>
      </c>
      <c r="P312" s="213" t="e">
        <v>#REF!</v>
      </c>
      <c r="Q312" s="214"/>
      <c r="T312" s="228">
        <f>VLOOKUP(Table2[[#This Row],[Course Title]],Data!$A$1:$E$56,4,FALSE)</f>
        <v>45</v>
      </c>
      <c r="U312" s="228">
        <f>VLOOKUP(Table2[[#This Row],[Course Title]],Data!$A$1:$E$56,5,FALSE)</f>
        <v>4</v>
      </c>
      <c r="V312" s="228"/>
      <c r="W312" s="218"/>
      <c r="X312" s="228"/>
      <c r="Y312" s="228"/>
      <c r="Z312" s="228"/>
      <c r="AA312" s="229">
        <f ca="1">Table2[[#This Row],[End Date]]+2-TODAY()</f>
        <v>88</v>
      </c>
      <c r="AB312" s="228">
        <f>IF(ISBLANK(#REF!),1,0)</f>
        <v>0</v>
      </c>
      <c r="AC312" s="228">
        <f ca="1">IF(Table2[[#This Row],[Start Date]]&gt;TODAY(),1,)</f>
        <v>1</v>
      </c>
    </row>
    <row r="313" spans="1:29" s="215" customFormat="1">
      <c r="B313" s="254" t="s">
        <v>287</v>
      </c>
      <c r="C313" s="225" t="str">
        <f>VLOOKUP(Table2[[#This Row],[Course Title]],Data!$A$1:$E$56,2,FALSE)</f>
        <v>A-493-0078</v>
      </c>
      <c r="D313" s="225">
        <f>VLOOKUP(Table2[[#This Row],[Course Title]],Data!$A$1:$E$56,3,FALSE)</f>
        <v>1228</v>
      </c>
      <c r="E313" s="224" t="s">
        <v>116</v>
      </c>
      <c r="F313" s="245">
        <v>45481</v>
      </c>
      <c r="G313" s="245">
        <v>45485</v>
      </c>
      <c r="H313" s="226"/>
      <c r="I313" s="244">
        <v>0.33333333333333331</v>
      </c>
      <c r="J313" s="244">
        <v>0.20833333333333334</v>
      </c>
      <c r="K313" s="244">
        <v>0.66666666666666663</v>
      </c>
      <c r="L313" s="244">
        <v>0.58333333333333337</v>
      </c>
      <c r="M313" s="244">
        <v>0.125</v>
      </c>
      <c r="N313" s="244">
        <v>0.91666666666666663</v>
      </c>
      <c r="O313" s="213" t="e">
        <v>#REF!</v>
      </c>
      <c r="P313" s="213" t="e">
        <v>#REF!</v>
      </c>
      <c r="Q313" s="214"/>
      <c r="T313" s="228">
        <f>VLOOKUP(Table2[[#This Row],[Course Title]],Data!$A$1:$E$56,4,FALSE)</f>
        <v>45</v>
      </c>
      <c r="U313" s="228">
        <f>VLOOKUP(Table2[[#This Row],[Course Title]],Data!$A$1:$E$56,5,FALSE)</f>
        <v>5</v>
      </c>
      <c r="V313" s="228"/>
      <c r="W313" s="218"/>
      <c r="X313" s="228"/>
      <c r="Y313" s="228"/>
      <c r="Z313" s="228"/>
      <c r="AA313" s="229">
        <f ca="1">Table2[[#This Row],[End Date]]+2-TODAY()</f>
        <v>88</v>
      </c>
      <c r="AB313" s="228">
        <f>IF(ISBLANK(#REF!),1,0)</f>
        <v>0</v>
      </c>
      <c r="AC313" s="228">
        <f ca="1">IF(Table2[[#This Row],[Start Date]]&gt;TODAY(),1,)</f>
        <v>1</v>
      </c>
    </row>
    <row r="314" spans="1:29" s="215" customFormat="1">
      <c r="B314" s="254" t="s">
        <v>34</v>
      </c>
      <c r="C314" s="225" t="str">
        <f>VLOOKUP(Table2[[#This Row],[Course Title]],Data!$A$1:$E$56,2,FALSE)</f>
        <v>A-493-0085</v>
      </c>
      <c r="D314" s="225">
        <f>VLOOKUP(Table2[[#This Row],[Course Title]],Data!$A$1:$E$56,3,FALSE)</f>
        <v>3555</v>
      </c>
      <c r="E314" s="224" t="s">
        <v>116</v>
      </c>
      <c r="F314" s="245">
        <v>45481</v>
      </c>
      <c r="G314" s="245">
        <v>45484</v>
      </c>
      <c r="H314" s="226"/>
      <c r="I314" s="244">
        <v>0.5</v>
      </c>
      <c r="J314" s="244">
        <v>0.375</v>
      </c>
      <c r="K314" s="244">
        <v>0.79166666666666663</v>
      </c>
      <c r="L314" s="244">
        <v>0.70833333333333337</v>
      </c>
      <c r="M314" s="244">
        <v>0.25</v>
      </c>
      <c r="N314" s="244">
        <v>4.1666666666666664E-2</v>
      </c>
      <c r="O314" s="213" t="e">
        <v>#REF!</v>
      </c>
      <c r="P314" s="213" t="e">
        <v>#REF!</v>
      </c>
      <c r="Q314" s="214"/>
      <c r="T314" s="228">
        <f>VLOOKUP(Table2[[#This Row],[Course Title]],Data!$A$1:$E$56,4,FALSE)</f>
        <v>30</v>
      </c>
      <c r="U314" s="228">
        <f>VLOOKUP(Table2[[#This Row],[Course Title]],Data!$A$1:$E$56,5,FALSE)</f>
        <v>4</v>
      </c>
      <c r="V314" s="228"/>
      <c r="W314" s="218"/>
      <c r="X314" s="228"/>
      <c r="Y314" s="228"/>
      <c r="Z314" s="228"/>
      <c r="AA314" s="229">
        <f ca="1">Table2[[#This Row],[End Date]]+2-TODAY()</f>
        <v>87</v>
      </c>
      <c r="AB314" s="228">
        <f>IF(ISBLANK(#REF!),1,0)</f>
        <v>0</v>
      </c>
      <c r="AC314" s="228">
        <f ca="1">IF(Table2[[#This Row],[Start Date]]&gt;TODAY(),1,)</f>
        <v>1</v>
      </c>
    </row>
    <row r="315" spans="1:29" s="215" customFormat="1">
      <c r="B315" s="254" t="s">
        <v>18</v>
      </c>
      <c r="C315" s="225" t="str">
        <f>VLOOKUP(Table2[[#This Row],[Course Title]],Data!$A$1:$E$56,2,FALSE)</f>
        <v>A-493-0013</v>
      </c>
      <c r="D315" s="225">
        <f>VLOOKUP(Table2[[#This Row],[Course Title]],Data!$A$1:$E$56,3,FALSE)</f>
        <v>3683</v>
      </c>
      <c r="E315" s="224" t="s">
        <v>101</v>
      </c>
      <c r="F315" s="245">
        <v>45482</v>
      </c>
      <c r="G315" s="245">
        <v>45484</v>
      </c>
      <c r="H315" s="227">
        <v>0.33333333333333331</v>
      </c>
      <c r="I315" s="227"/>
      <c r="J315" s="227"/>
      <c r="K315" s="227"/>
      <c r="L315" s="227"/>
      <c r="M315" s="227"/>
      <c r="N315" s="226"/>
      <c r="O315" s="213" t="e">
        <v>#REF!</v>
      </c>
      <c r="P315" s="213" t="e">
        <v>#REF!</v>
      </c>
      <c r="Q315" s="214"/>
      <c r="T315" s="228">
        <f>VLOOKUP(Table2[[#This Row],[Course Title]],Data!$A$1:$E$56,4,FALSE)</f>
        <v>40</v>
      </c>
      <c r="U315" s="228">
        <v>3</v>
      </c>
      <c r="V315" s="228"/>
      <c r="W315" s="218"/>
      <c r="X315" s="228"/>
      <c r="Y315" s="228"/>
      <c r="Z315" s="225"/>
      <c r="AA315" s="229">
        <f ca="1">Table2[[#This Row],[End Date]]+2-TODAY()</f>
        <v>87</v>
      </c>
      <c r="AB315" s="228">
        <f>IF(ISBLANK(#REF!),1,0)</f>
        <v>0</v>
      </c>
      <c r="AC315" s="228">
        <f ca="1">IF(Table2[[#This Row],[Start Date]]&gt;TODAY(),1,)</f>
        <v>1</v>
      </c>
    </row>
    <row r="316" spans="1:29" s="215" customFormat="1">
      <c r="B316" s="254" t="s">
        <v>26</v>
      </c>
      <c r="C316" s="225" t="str">
        <f>VLOOKUP(Table2[[#This Row],[Course Title]],Data!$A$1:$E$56,2,FALSE)</f>
        <v>A-493-2301</v>
      </c>
      <c r="D316" s="225" t="str">
        <f>VLOOKUP(Table2[[#This Row],[Course Title]],Data!$A$1:$E$56,3,FALSE)</f>
        <v>05ZD</v>
      </c>
      <c r="E316" s="232" t="s">
        <v>140</v>
      </c>
      <c r="F316" s="245">
        <v>45482</v>
      </c>
      <c r="G316" s="245">
        <v>45482</v>
      </c>
      <c r="H316" s="227">
        <v>0.33333333333333331</v>
      </c>
      <c r="I316" s="227"/>
      <c r="J316" s="226"/>
      <c r="K316" s="226"/>
      <c r="L316" s="226"/>
      <c r="M316" s="226"/>
      <c r="N316" s="226"/>
      <c r="O316" s="218" t="e">
        <v>#REF!</v>
      </c>
      <c r="P316" s="213" t="e">
        <v>#REF!</v>
      </c>
      <c r="Q316" s="218"/>
      <c r="T316" s="228">
        <f>VLOOKUP(Table2[[#This Row],[Course Title]],Data!$A$1:$E$56,4,FALSE)</f>
        <v>30</v>
      </c>
      <c r="U316" s="228">
        <f>VLOOKUP(Table2[[#This Row],[Course Title]],Data!$A$1:$E$56,5,FALSE)</f>
        <v>1</v>
      </c>
      <c r="V316" s="228"/>
      <c r="W316" s="218"/>
      <c r="X316" s="228"/>
      <c r="Y316" s="228"/>
      <c r="Z316" s="228"/>
      <c r="AA316" s="229">
        <f ca="1">Table2[[#This Row],[End Date]]+2-TODAY()</f>
        <v>85</v>
      </c>
      <c r="AB316" s="228">
        <f>IF(ISBLANK(#REF!),1,0)</f>
        <v>0</v>
      </c>
      <c r="AC316" s="228">
        <f ca="1">IF(Table2[[#This Row],[Start Date]]&gt;TODAY(),1,)</f>
        <v>1</v>
      </c>
    </row>
    <row r="317" spans="1:29" s="215" customFormat="1">
      <c r="B317" s="254" t="s">
        <v>35</v>
      </c>
      <c r="C317" s="225" t="str">
        <f>VLOOKUP(Table2[[#This Row],[Course Title]],Data!$A$1:$E$56,2,FALSE)</f>
        <v>A-493-2501</v>
      </c>
      <c r="D317" s="225" t="str">
        <f>VLOOKUP(Table2[[#This Row],[Course Title]],Data!$A$1:$E$56,3,FALSE)</f>
        <v>05ZE</v>
      </c>
      <c r="E317" s="232" t="s">
        <v>140</v>
      </c>
      <c r="F317" s="245">
        <v>45483</v>
      </c>
      <c r="G317" s="245">
        <v>45483</v>
      </c>
      <c r="H317" s="227">
        <v>0.33333333333333331</v>
      </c>
      <c r="I317" s="227"/>
      <c r="J317" s="226"/>
      <c r="K317" s="226"/>
      <c r="L317" s="226"/>
      <c r="M317" s="226"/>
      <c r="N317" s="226"/>
      <c r="O317" s="218" t="e">
        <v>#REF!</v>
      </c>
      <c r="P317" s="213" t="e">
        <v>#REF!</v>
      </c>
      <c r="Q317" s="218"/>
      <c r="T317" s="228">
        <f>VLOOKUP(Table2[[#This Row],[Course Title]],Data!$A$1:$E$56,4,FALSE)</f>
        <v>30</v>
      </c>
      <c r="U317" s="228">
        <f>VLOOKUP(Table2[[#This Row],[Course Title]],Data!$A$1:$E$56,5,FALSE)</f>
        <v>1</v>
      </c>
      <c r="V317" s="228"/>
      <c r="W317" s="218"/>
      <c r="X317" s="228"/>
      <c r="Y317" s="228"/>
      <c r="Z317" s="228"/>
      <c r="AA317" s="229">
        <f ca="1">Table2[[#This Row],[End Date]]+2-TODAY()</f>
        <v>86</v>
      </c>
      <c r="AB317" s="228">
        <f>IF(ISBLANK(#REF!),1,0)</f>
        <v>0</v>
      </c>
      <c r="AC317" s="228">
        <f ca="1">IF(Table2[[#This Row],[Start Date]]&gt;TODAY(),1,)</f>
        <v>1</v>
      </c>
    </row>
    <row r="318" spans="1:29" s="215" customFormat="1">
      <c r="B318" s="254" t="s">
        <v>35</v>
      </c>
      <c r="C318" s="225" t="str">
        <f>VLOOKUP(Table2[[#This Row],[Course Title]],Data!$A$1:$E$56,2,FALSE)</f>
        <v>A-493-2501</v>
      </c>
      <c r="D318" s="225" t="str">
        <f>VLOOKUP(Table2[[#This Row],[Course Title]],Data!$A$1:$E$56,3,FALSE)</f>
        <v>05ZE</v>
      </c>
      <c r="E318" s="224" t="s">
        <v>335</v>
      </c>
      <c r="F318" s="245">
        <v>45484</v>
      </c>
      <c r="G318" s="245">
        <v>45484</v>
      </c>
      <c r="H318" s="246">
        <v>800</v>
      </c>
      <c r="I318" s="246"/>
      <c r="J318" s="226"/>
      <c r="K318" s="226"/>
      <c r="L318" s="226"/>
      <c r="M318" s="226"/>
      <c r="N318" s="226"/>
      <c r="O318" s="218"/>
      <c r="P318" s="213"/>
      <c r="Q318" s="218"/>
      <c r="T318" s="218">
        <v>30</v>
      </c>
      <c r="U318" s="213">
        <v>1</v>
      </c>
      <c r="V318" s="218"/>
      <c r="W318" s="218"/>
      <c r="X318" s="228"/>
      <c r="Y318" s="228"/>
      <c r="Z318" s="228"/>
      <c r="AA318" s="229">
        <f ca="1">Table2[[#This Row],[End Date]]+2-TODAY()</f>
        <v>87</v>
      </c>
      <c r="AB318" s="228">
        <f>IF(ISBLANK(#REF!),1,0)</f>
        <v>0</v>
      </c>
      <c r="AC318" s="228">
        <f ca="1">IF(Table2[[#This Row],[Start Date]]&gt;TODAY(),1,)</f>
        <v>1</v>
      </c>
    </row>
    <row r="319" spans="1:29" s="215" customFormat="1">
      <c r="B319" s="224" t="s">
        <v>35</v>
      </c>
      <c r="C319" s="225" t="str">
        <f>VLOOKUP(Table2[[#This Row],[Course Title]],Data!$A$1:$E$56,2,FALSE)</f>
        <v>A-493-2501</v>
      </c>
      <c r="D319" s="225" t="str">
        <f>VLOOKUP(Table2[[#This Row],[Course Title]],Data!$A$1:$E$56,3,FALSE)</f>
        <v>05ZE</v>
      </c>
      <c r="E319" s="224" t="s">
        <v>289</v>
      </c>
      <c r="F319" s="245">
        <v>45485</v>
      </c>
      <c r="G319" s="245">
        <v>45485</v>
      </c>
      <c r="H319" s="227">
        <v>0.33333333333333331</v>
      </c>
      <c r="I319" s="227"/>
      <c r="J319" s="226"/>
      <c r="K319" s="226"/>
      <c r="L319" s="226"/>
      <c r="M319" s="226"/>
      <c r="N319" s="226"/>
      <c r="O319" s="218"/>
      <c r="P319" s="213"/>
      <c r="Q319" s="218"/>
      <c r="T319" s="218">
        <v>30</v>
      </c>
      <c r="U319" s="213">
        <v>1</v>
      </c>
      <c r="V319" s="218"/>
      <c r="W319" s="218"/>
      <c r="X319" s="228"/>
      <c r="Y319" s="228"/>
      <c r="Z319" s="225"/>
      <c r="AA319" s="241">
        <f ca="1">Table2[[#This Row],[End Date]]+2-TODAY()</f>
        <v>88</v>
      </c>
      <c r="AB319" s="228">
        <f>IF(ISBLANK(#REF!),1,0)</f>
        <v>0</v>
      </c>
      <c r="AC319" s="225">
        <f ca="1">IF(Table2[[#This Row],[Start Date]]&gt;TODAY(),1,)</f>
        <v>1</v>
      </c>
    </row>
    <row r="320" spans="1:29" s="215" customFormat="1">
      <c r="B320" s="256" t="s">
        <v>10</v>
      </c>
      <c r="C320" s="225" t="str">
        <f>VLOOKUP(Table2[[#This Row],[Course Title]],Data!$A$1:$E$56,2,FALSE)</f>
        <v>A-493-0069</v>
      </c>
      <c r="D320" s="225" t="str">
        <f>VLOOKUP(Table2[[#This Row],[Course Title]],Data!$A$1:$E$56,3,FALSE)</f>
        <v>450U</v>
      </c>
      <c r="E320" s="224" t="s">
        <v>147</v>
      </c>
      <c r="F320" s="245">
        <v>45488</v>
      </c>
      <c r="G320" s="245">
        <v>45492</v>
      </c>
      <c r="H320" s="246">
        <v>0.33333333333333331</v>
      </c>
      <c r="I320" s="246"/>
      <c r="J320" s="226"/>
      <c r="K320" s="226"/>
      <c r="L320" s="226"/>
      <c r="M320" s="226"/>
      <c r="N320" s="226"/>
      <c r="O320" s="213" t="e">
        <v>#REF!</v>
      </c>
      <c r="P320" s="213" t="e">
        <v>#REF!</v>
      </c>
      <c r="Q320" s="214"/>
      <c r="T320" s="228">
        <f>VLOOKUP(Table2[[#This Row],[Course Title]],Data!$A$1:$E$56,4,FALSE)</f>
        <v>25</v>
      </c>
      <c r="U320" s="228">
        <f>VLOOKUP(Table2[[#This Row],[Course Title]],Data!$A$1:$E$56,5,FALSE)</f>
        <v>5</v>
      </c>
      <c r="V320" s="228"/>
      <c r="W320" s="218"/>
      <c r="X320" s="228"/>
      <c r="Y320" s="228"/>
      <c r="Z320" s="228"/>
      <c r="AA320" s="229">
        <f ca="1">Table2[[#This Row],[End Date]]+2-TODAY()</f>
        <v>95</v>
      </c>
      <c r="AB320" s="228">
        <f>IF(ISBLANK(#REF!),1,0)</f>
        <v>0</v>
      </c>
      <c r="AC320" s="228">
        <f ca="1">IF(Table2[[#This Row],[Start Date]]&gt;TODAY(),1,)</f>
        <v>1</v>
      </c>
    </row>
    <row r="321" spans="1:29" s="215" customFormat="1">
      <c r="B321" s="254" t="s">
        <v>215</v>
      </c>
      <c r="C321" s="225" t="str">
        <f>VLOOKUP(Table2[[#This Row],[Course Title]],Data!$A$1:$E$56,2,FALSE)</f>
        <v>A-493-0665</v>
      </c>
      <c r="D321" s="225" t="str">
        <f>VLOOKUP(Table2[[#This Row],[Course Title]],Data!$A$1:$E$56,3,FALSE)</f>
        <v>10KW</v>
      </c>
      <c r="E321" s="224" t="s">
        <v>116</v>
      </c>
      <c r="F321" s="245">
        <v>45488</v>
      </c>
      <c r="G321" s="245">
        <v>45492</v>
      </c>
      <c r="H321" s="226"/>
      <c r="I321" s="244">
        <v>0.54166666666666663</v>
      </c>
      <c r="J321" s="244">
        <v>0.41666666666666669</v>
      </c>
      <c r="K321" s="244">
        <v>0.83333333333333337</v>
      </c>
      <c r="L321" s="244">
        <v>0.75</v>
      </c>
      <c r="M321" s="244">
        <v>0.29166666666666669</v>
      </c>
      <c r="N321" s="244">
        <v>8.3333333333333329E-2</v>
      </c>
      <c r="O321" s="218" t="e">
        <v>#REF!</v>
      </c>
      <c r="P321" s="213" t="e">
        <v>#REF!</v>
      </c>
      <c r="Q321" s="218"/>
      <c r="T321" s="228">
        <f>VLOOKUP(Table2[[#This Row],[Course Title]],Data!$A$1:$E$56,4,FALSE)</f>
        <v>45</v>
      </c>
      <c r="U321" s="228">
        <f>VLOOKUP(Table2[[#This Row],[Course Title]],Data!$A$1:$E$56,5,FALSE)</f>
        <v>5</v>
      </c>
      <c r="V321" s="228"/>
      <c r="W321" s="218"/>
      <c r="X321" s="228"/>
      <c r="Y321" s="228"/>
      <c r="Z321" s="228"/>
      <c r="AA321" s="229">
        <f ca="1">Table2[[#This Row],[End Date]]+2-TODAY()</f>
        <v>95</v>
      </c>
      <c r="AB321" s="228">
        <f>IF(ISBLANK(#REF!),1,0)</f>
        <v>0</v>
      </c>
      <c r="AC321" s="228">
        <f ca="1">IF(Table2[[#This Row],[Start Date]]&gt;TODAY(),1,)</f>
        <v>1</v>
      </c>
    </row>
    <row r="322" spans="1:29" s="215" customFormat="1">
      <c r="A322" s="215" t="s">
        <v>432</v>
      </c>
      <c r="B322" s="256" t="s">
        <v>236</v>
      </c>
      <c r="C322" s="225" t="str">
        <f>VLOOKUP(Table2[[#This Row],[Course Title]],Data!$A$1:$E$56,2,FALSE)</f>
        <v>A-493-0103</v>
      </c>
      <c r="D322" s="225" t="str">
        <f>VLOOKUP(Table2[[#This Row],[Course Title]],Data!$A$1:$E$56,3,FALSE)</f>
        <v>12JY</v>
      </c>
      <c r="E322" s="224" t="s">
        <v>302</v>
      </c>
      <c r="F322" s="245">
        <v>45488</v>
      </c>
      <c r="G322" s="245">
        <v>45492</v>
      </c>
      <c r="H322" s="227">
        <v>0.33333333333333331</v>
      </c>
      <c r="I322" s="227"/>
      <c r="J322" s="226"/>
      <c r="K322" s="226"/>
      <c r="L322" s="226"/>
      <c r="M322" s="226"/>
      <c r="N322" s="226"/>
      <c r="O322" s="213" t="e">
        <v>#REF!</v>
      </c>
      <c r="P322" s="213" t="e">
        <v>#REF!</v>
      </c>
      <c r="Q322" s="213"/>
      <c r="T322" s="228">
        <f>VLOOKUP(Table2[[#This Row],[Course Title]],Data!$A$1:$E$56,4,FALSE)</f>
        <v>25</v>
      </c>
      <c r="U322" s="228">
        <f>VLOOKUP(Table2[[#This Row],[Course Title]],Data!$A$1:$E$56,5,FALSE)</f>
        <v>5</v>
      </c>
      <c r="V322" s="228"/>
      <c r="W322" s="218"/>
      <c r="X322" s="228"/>
      <c r="Y322" s="228"/>
      <c r="Z322" s="228"/>
      <c r="AA322" s="229">
        <f ca="1">Table2[[#This Row],[End Date]]+2-TODAY()</f>
        <v>95</v>
      </c>
      <c r="AB322" s="228">
        <f>IF(ISBLANK(#REF!),1,0)</f>
        <v>0</v>
      </c>
      <c r="AC322" s="228">
        <f ca="1">IF(Table2[[#This Row],[Start Date]]&gt;TODAY(),1,)</f>
        <v>1</v>
      </c>
    </row>
    <row r="323" spans="1:29" s="215" customFormat="1">
      <c r="B323" s="256" t="s">
        <v>236</v>
      </c>
      <c r="C323" s="225" t="str">
        <f>VLOOKUP(Table2[[#This Row],[Course Title]],Data!$A$1:$E$56,2,FALSE)</f>
        <v>A-493-0103</v>
      </c>
      <c r="D323" s="225" t="str">
        <f>VLOOKUP(Table2[[#This Row],[Course Title]],Data!$A$1:$E$56,3,FALSE)</f>
        <v>12JY</v>
      </c>
      <c r="E323" s="224" t="s">
        <v>109</v>
      </c>
      <c r="F323" s="245">
        <v>45488</v>
      </c>
      <c r="G323" s="245">
        <v>45492</v>
      </c>
      <c r="H323" s="227">
        <v>0.33333333333333331</v>
      </c>
      <c r="I323" s="227"/>
      <c r="J323" s="226"/>
      <c r="K323" s="226"/>
      <c r="L323" s="226"/>
      <c r="M323" s="226"/>
      <c r="N323" s="226"/>
      <c r="O323" s="213" t="e">
        <v>#REF!</v>
      </c>
      <c r="P323" s="213" t="e">
        <v>#REF!</v>
      </c>
      <c r="Q323" s="214"/>
      <c r="T323" s="228">
        <f>VLOOKUP(Table2[[#This Row],[Course Title]],Data!$A$1:$E$56,4,FALSE)</f>
        <v>25</v>
      </c>
      <c r="U323" s="228">
        <f>VLOOKUP(Table2[[#This Row],[Course Title]],Data!$A$1:$E$56,5,FALSE)</f>
        <v>5</v>
      </c>
      <c r="V323" s="228"/>
      <c r="W323" s="218"/>
      <c r="X323" s="228"/>
      <c r="Y323" s="228"/>
      <c r="Z323" s="228"/>
      <c r="AA323" s="229">
        <f ca="1">Table2[[#This Row],[End Date]]+2-TODAY()</f>
        <v>95</v>
      </c>
      <c r="AB323" s="228">
        <f>IF(ISBLANK(#REF!),1,0)</f>
        <v>0</v>
      </c>
      <c r="AC323" s="228">
        <f ca="1">IF(Table2[[#This Row],[Start Date]]&gt;TODAY(),1,)</f>
        <v>1</v>
      </c>
    </row>
    <row r="324" spans="1:29" s="215" customFormat="1">
      <c r="A324" s="224"/>
      <c r="B324" s="256" t="s">
        <v>266</v>
      </c>
      <c r="C324" s="225" t="str">
        <f>VLOOKUP(Table2[[#This Row],[Course Title]],Data!$A$1:$E$56,2,FALSE)</f>
        <v>A-493-0331</v>
      </c>
      <c r="D324" s="225" t="str">
        <f>VLOOKUP(Table2[[#This Row],[Course Title]],Data!$A$1:$E$56,3,FALSE)</f>
        <v>10UG</v>
      </c>
      <c r="E324" s="224" t="s">
        <v>116</v>
      </c>
      <c r="F324" s="257">
        <v>45488</v>
      </c>
      <c r="G324" s="257">
        <v>45490</v>
      </c>
      <c r="H324" s="239"/>
      <c r="I324" s="244">
        <v>0.79166666666666663</v>
      </c>
      <c r="J324" s="244">
        <v>0.66666666666666663</v>
      </c>
      <c r="K324" s="244">
        <v>8.3333333333333329E-2</v>
      </c>
      <c r="L324" s="244">
        <v>0</v>
      </c>
      <c r="M324" s="244">
        <v>0.54166666666666663</v>
      </c>
      <c r="N324" s="244">
        <v>0.33333333333333331</v>
      </c>
      <c r="O324" s="213" t="e">
        <v>#REF!</v>
      </c>
      <c r="P324" s="213" t="e">
        <v>#REF!</v>
      </c>
      <c r="Q324" s="214"/>
      <c r="T324" s="228">
        <f>VLOOKUP(Table2[[#This Row],[Course Title]],Data!$A$1:$E$56,4,FALSE)</f>
        <v>40</v>
      </c>
      <c r="U324" s="228">
        <f>VLOOKUP(Table2[[#This Row],[Course Title]],Data!$A$1:$E$56,5,FALSE)</f>
        <v>3</v>
      </c>
      <c r="V324" s="228"/>
      <c r="W324" s="218"/>
      <c r="X324" s="228"/>
      <c r="Y324" s="228"/>
      <c r="Z324" s="228"/>
      <c r="AA324" s="229">
        <f ca="1">Table2[[#This Row],[End Date]]+2-TODAY()</f>
        <v>93</v>
      </c>
      <c r="AB324" s="228">
        <f>IF(ISBLANK(#REF!),1,0)</f>
        <v>0</v>
      </c>
      <c r="AC324" s="228">
        <f ca="1">IF(Table2[[#This Row],[Start Date]]&gt;TODAY(),1,)</f>
        <v>1</v>
      </c>
    </row>
    <row r="325" spans="1:29" s="215" customFormat="1">
      <c r="B325" s="256" t="s">
        <v>312</v>
      </c>
      <c r="C325" s="225" t="str">
        <f>VLOOKUP(Table2[[#This Row],[Course Title]],Data!$A$1:$E$56,2,FALSE)</f>
        <v>A-493-2098</v>
      </c>
      <c r="D325" s="225" t="str">
        <f>VLOOKUP(Table2[[#This Row],[Course Title]],Data!$A$1:$E$56,3,FALSE)</f>
        <v>09WW</v>
      </c>
      <c r="E325" s="256" t="s">
        <v>116</v>
      </c>
      <c r="F325" s="258">
        <v>45488</v>
      </c>
      <c r="G325" s="258">
        <v>45492</v>
      </c>
      <c r="H325" s="226"/>
      <c r="I325" s="244">
        <v>0.54166666666666663</v>
      </c>
      <c r="J325" s="244">
        <v>0.41666666666666669</v>
      </c>
      <c r="K325" s="244">
        <v>0.83333333333333337</v>
      </c>
      <c r="L325" s="244">
        <v>0.75</v>
      </c>
      <c r="M325" s="244">
        <v>0.29166666666666669</v>
      </c>
      <c r="N325" s="244">
        <v>8.3333333333333329E-2</v>
      </c>
      <c r="O325" s="218" t="e">
        <v>#REF!</v>
      </c>
      <c r="P325" s="213" t="e">
        <v>#REF!</v>
      </c>
      <c r="Q325" s="218"/>
      <c r="T325" s="228">
        <f>VLOOKUP(Table2[[#This Row],[Course Title]],Data!$A$1:$E$56,4,FALSE)</f>
        <v>100</v>
      </c>
      <c r="U325" s="228">
        <f>VLOOKUP(Table2[[#This Row],[Course Title]],Data!$A$1:$E$56,5,FALSE)</f>
        <v>5</v>
      </c>
      <c r="V325" s="228"/>
      <c r="W325" s="218"/>
      <c r="X325" s="228"/>
      <c r="Y325" s="228"/>
      <c r="Z325" s="228"/>
      <c r="AA325" s="229">
        <f ca="1">Table2[[#This Row],[End Date]]+2-TODAY()</f>
        <v>95</v>
      </c>
      <c r="AB325" s="228">
        <f>IF(ISBLANK(#REF!),1,0)</f>
        <v>0</v>
      </c>
      <c r="AC325" s="228">
        <f ca="1">IF(Table2[[#This Row],[Start Date]]&gt;TODAY(),1,)</f>
        <v>1</v>
      </c>
    </row>
    <row r="326" spans="1:29" s="215" customFormat="1">
      <c r="A326" s="232" t="s">
        <v>494</v>
      </c>
      <c r="B326" s="256" t="s">
        <v>18</v>
      </c>
      <c r="C326" s="225" t="str">
        <f>VLOOKUP(Table2[[#This Row],[Course Title]],Data!$A$1:$E$56,2,FALSE)</f>
        <v>A-493-0013</v>
      </c>
      <c r="D326" s="225">
        <f>VLOOKUP(Table2[[#This Row],[Course Title]],Data!$A$1:$E$56,3,FALSE)</f>
        <v>3683</v>
      </c>
      <c r="E326" s="256" t="s">
        <v>344</v>
      </c>
      <c r="F326" s="258">
        <v>45488</v>
      </c>
      <c r="G326" s="258">
        <v>45489</v>
      </c>
      <c r="H326" s="227">
        <v>0.33333333333333331</v>
      </c>
      <c r="I326" s="227"/>
      <c r="J326" s="226"/>
      <c r="K326" s="226"/>
      <c r="L326" s="226"/>
      <c r="M326" s="226"/>
      <c r="N326" s="226"/>
      <c r="O326" s="218"/>
      <c r="P326" s="213"/>
      <c r="Q326" s="218"/>
      <c r="T326" s="218">
        <v>40</v>
      </c>
      <c r="U326" s="213">
        <v>2</v>
      </c>
      <c r="V326" s="218"/>
      <c r="W326" s="218"/>
      <c r="X326" s="228"/>
      <c r="Y326" s="228"/>
      <c r="Z326" s="228"/>
      <c r="AA326" s="229">
        <f ca="1">Table2[[#This Row],[End Date]]+2-TODAY()</f>
        <v>92</v>
      </c>
      <c r="AB326" s="228">
        <f>IF(ISBLANK(#REF!),1,0)</f>
        <v>0</v>
      </c>
      <c r="AC326" s="228">
        <f ca="1">IF(Table2[[#This Row],[Start Date]]&gt;TODAY(),1,)</f>
        <v>1</v>
      </c>
    </row>
    <row r="327" spans="1:29" s="215" customFormat="1">
      <c r="B327" s="256" t="s">
        <v>18</v>
      </c>
      <c r="C327" s="225" t="str">
        <f>VLOOKUP(Table2[[#This Row],[Course Title]],Data!$A$1:$E$56,2,FALSE)</f>
        <v>A-493-0013</v>
      </c>
      <c r="D327" s="225">
        <f>VLOOKUP(Table2[[#This Row],[Course Title]],Data!$A$1:$E$56,3,FALSE)</f>
        <v>3683</v>
      </c>
      <c r="E327" s="224" t="s">
        <v>155</v>
      </c>
      <c r="F327" s="226">
        <v>45489</v>
      </c>
      <c r="G327" s="226">
        <v>45491</v>
      </c>
      <c r="H327" s="227">
        <v>0.33333333333333331</v>
      </c>
      <c r="I327" s="227"/>
      <c r="J327" s="227"/>
      <c r="K327" s="227"/>
      <c r="L327" s="227"/>
      <c r="M327" s="227"/>
      <c r="N327" s="226"/>
      <c r="O327" s="213" t="e">
        <v>#REF!</v>
      </c>
      <c r="P327" s="213" t="e">
        <v>#REF!</v>
      </c>
      <c r="Q327" s="214"/>
      <c r="T327" s="228">
        <f>VLOOKUP(Table2[[#This Row],[Course Title]],Data!$A$1:$E$56,4,FALSE)</f>
        <v>40</v>
      </c>
      <c r="U327" s="228">
        <v>3</v>
      </c>
      <c r="V327" s="228"/>
      <c r="W327" s="218"/>
      <c r="X327" s="228"/>
      <c r="Y327" s="228"/>
      <c r="Z327" s="228"/>
      <c r="AA327" s="229">
        <f ca="1">Table2[[#This Row],[End Date]]+2-TODAY()</f>
        <v>94</v>
      </c>
      <c r="AB327" s="228">
        <f>IF(ISBLANK(#REF!),1,0)</f>
        <v>0</v>
      </c>
      <c r="AC327" s="228">
        <f ca="1">IF(Table2[[#This Row],[Start Date]]&gt;TODAY(),1,)</f>
        <v>1</v>
      </c>
    </row>
    <row r="328" spans="1:29" s="215" customFormat="1">
      <c r="B328" s="256" t="s">
        <v>20</v>
      </c>
      <c r="C328" s="225" t="str">
        <f>VLOOKUP(Table2[[#This Row],[Course Title]],Data!$A$1:$E$56,2,FALSE)</f>
        <v xml:space="preserve">A-493-0075 </v>
      </c>
      <c r="D328" s="225" t="str">
        <f>VLOOKUP(Table2[[#This Row],[Course Title]],Data!$A$1:$E$56,3,FALSE)</f>
        <v>714U</v>
      </c>
      <c r="E328" s="252" t="s">
        <v>140</v>
      </c>
      <c r="F328" s="245">
        <v>45489</v>
      </c>
      <c r="G328" s="245">
        <v>45492</v>
      </c>
      <c r="H328" s="227">
        <v>0.33333333333333331</v>
      </c>
      <c r="I328" s="227"/>
      <c r="J328" s="226"/>
      <c r="K328" s="226"/>
      <c r="L328" s="226"/>
      <c r="M328" s="226"/>
      <c r="N328" s="226"/>
      <c r="O328" s="213" t="e">
        <v>#REF!</v>
      </c>
      <c r="P328" s="213" t="e">
        <v>#REF!</v>
      </c>
      <c r="Q328" s="213"/>
      <c r="T328" s="228">
        <f>VLOOKUP(Table2[[#This Row],[Course Title]],Data!$A$1:$E$56,4,FALSE)</f>
        <v>30</v>
      </c>
      <c r="U328" s="228">
        <f>VLOOKUP(Table2[[#This Row],[Course Title]],Data!$A$1:$E$56,5,FALSE)</f>
        <v>4</v>
      </c>
      <c r="V328" s="228"/>
      <c r="W328" s="218"/>
      <c r="X328" s="228"/>
      <c r="Y328" s="228"/>
      <c r="Z328" s="228"/>
      <c r="AA328" s="229">
        <f ca="1">Table2[[#This Row],[End Date]]+2-TODAY()</f>
        <v>95</v>
      </c>
      <c r="AB328" s="228">
        <f>IF(ISBLANK(#REF!),1,0)</f>
        <v>0</v>
      </c>
      <c r="AC328" s="228">
        <f ca="1">IF(Table2[[#This Row],[Start Date]]&gt;TODAY(),1,)</f>
        <v>1</v>
      </c>
    </row>
    <row r="329" spans="1:29" s="215" customFormat="1">
      <c r="B329" s="256" t="s">
        <v>6</v>
      </c>
      <c r="C329" s="225" t="str">
        <f>VLOOKUP(Table2[[#This Row],[Course Title]],Data!$A$1:$E$56,2,FALSE)</f>
        <v>A-493-0014</v>
      </c>
      <c r="D329" s="225">
        <f>VLOOKUP(Table2[[#This Row],[Course Title]],Data!$A$1:$E$56,3,FALSE)</f>
        <v>3878</v>
      </c>
      <c r="E329" s="250" t="s">
        <v>147</v>
      </c>
      <c r="F329" s="245">
        <v>45495</v>
      </c>
      <c r="G329" s="245">
        <v>45497</v>
      </c>
      <c r="H329" s="246">
        <v>0.33333333333333331</v>
      </c>
      <c r="I329" s="246"/>
      <c r="J329" s="226"/>
      <c r="K329" s="226"/>
      <c r="L329" s="226"/>
      <c r="M329" s="226"/>
      <c r="N329" s="226"/>
      <c r="O329" s="213" t="e">
        <v>#REF!</v>
      </c>
      <c r="P329" s="213" t="e">
        <v>#REF!</v>
      </c>
      <c r="Q329" s="213"/>
      <c r="T329" s="228">
        <f>VLOOKUP(Table2[[#This Row],[Course Title]],Data!$A$1:$E$56,4,FALSE)</f>
        <v>25</v>
      </c>
      <c r="U329" s="228">
        <f>VLOOKUP(Table2[[#This Row],[Course Title]],Data!$A$1:$E$56,5,FALSE)</f>
        <v>3</v>
      </c>
      <c r="V329" s="228"/>
      <c r="W329" s="218"/>
      <c r="X329" s="228"/>
      <c r="Y329" s="228"/>
      <c r="Z329" s="228"/>
      <c r="AA329" s="229">
        <f ca="1">Table2[[#This Row],[End Date]]+2-TODAY()</f>
        <v>100</v>
      </c>
      <c r="AB329" s="228">
        <f>IF(ISBLANK(#REF!),1,0)</f>
        <v>0</v>
      </c>
      <c r="AC329" s="228">
        <f ca="1">IF(Table2[[#This Row],[Start Date]]&gt;TODAY(),1,)</f>
        <v>1</v>
      </c>
    </row>
    <row r="330" spans="1:29" s="215" customFormat="1">
      <c r="B330" s="256" t="s">
        <v>24</v>
      </c>
      <c r="C330" s="225" t="str">
        <f>VLOOKUP(Table2[[#This Row],[Course Title]],Data!$A$1:$E$56,2,FALSE)</f>
        <v>A-493-0083</v>
      </c>
      <c r="D330" s="225" t="str">
        <f>VLOOKUP(Table2[[#This Row],[Course Title]],Data!$A$1:$E$56,3,FALSE)</f>
        <v>339E</v>
      </c>
      <c r="E330" s="250" t="s">
        <v>116</v>
      </c>
      <c r="F330" s="243">
        <v>45495</v>
      </c>
      <c r="G330" s="243">
        <v>45495</v>
      </c>
      <c r="H330" s="239"/>
      <c r="I330" s="244">
        <v>0.79166666666666663</v>
      </c>
      <c r="J330" s="244">
        <v>0.66666666666666663</v>
      </c>
      <c r="K330" s="244">
        <v>8.3333333333333329E-2</v>
      </c>
      <c r="L330" s="244">
        <v>0</v>
      </c>
      <c r="M330" s="244">
        <v>0.54166666666666663</v>
      </c>
      <c r="N330" s="244">
        <v>0.33333333333333331</v>
      </c>
      <c r="O330" s="218" t="e">
        <v>#REF!</v>
      </c>
      <c r="P330" s="213" t="e">
        <v>#REF!</v>
      </c>
      <c r="Q330" s="218"/>
      <c r="T330" s="228">
        <f>VLOOKUP(Table2[[#This Row],[Course Title]],Data!$A$1:$E$56,4,FALSE)</f>
        <v>30</v>
      </c>
      <c r="U330" s="228">
        <f>VLOOKUP(Table2[[#This Row],[Course Title]],Data!$A$1:$E$56,5,FALSE)</f>
        <v>1</v>
      </c>
      <c r="V330" s="228"/>
      <c r="W330" s="218"/>
      <c r="X330" s="228"/>
      <c r="Y330" s="228"/>
      <c r="Z330" s="228"/>
      <c r="AA330" s="229">
        <f ca="1">Table2[[#This Row],[End Date]]+2-TODAY()</f>
        <v>98</v>
      </c>
      <c r="AB330" s="228">
        <f>IF(ISBLANK(#REF!),1,0)</f>
        <v>0</v>
      </c>
      <c r="AC330" s="228">
        <f ca="1">IF(Table2[[#This Row],[Start Date]]&gt;TODAY(),1,)</f>
        <v>1</v>
      </c>
    </row>
    <row r="331" spans="1:29" s="215" customFormat="1">
      <c r="B331" s="256" t="s">
        <v>215</v>
      </c>
      <c r="C331" s="225" t="str">
        <f>VLOOKUP(Table2[[#This Row],[Course Title]],Data!$A$1:$E$56,2,FALSE)</f>
        <v>A-493-0665</v>
      </c>
      <c r="D331" s="225" t="str">
        <f>VLOOKUP(Table2[[#This Row],[Course Title]],Data!$A$1:$E$56,3,FALSE)</f>
        <v>10KW</v>
      </c>
      <c r="E331" s="250" t="s">
        <v>116</v>
      </c>
      <c r="F331" s="245">
        <v>45495</v>
      </c>
      <c r="G331" s="245">
        <v>45499</v>
      </c>
      <c r="H331" s="226"/>
      <c r="I331" s="244">
        <v>0.54166666666666663</v>
      </c>
      <c r="J331" s="244">
        <v>0.41666666666666669</v>
      </c>
      <c r="K331" s="244">
        <v>0.83333333333333337</v>
      </c>
      <c r="L331" s="244">
        <v>0.75</v>
      </c>
      <c r="M331" s="244">
        <v>0.29166666666666669</v>
      </c>
      <c r="N331" s="244">
        <v>8.3333333333333329E-2</v>
      </c>
      <c r="O331" s="218" t="e">
        <v>#REF!</v>
      </c>
      <c r="P331" s="213" t="e">
        <v>#REF!</v>
      </c>
      <c r="Q331" s="218"/>
      <c r="T331" s="228">
        <f>VLOOKUP(Table2[[#This Row],[Course Title]],Data!$A$1:$E$56,4,FALSE)</f>
        <v>45</v>
      </c>
      <c r="U331" s="228">
        <f>VLOOKUP(Table2[[#This Row],[Course Title]],Data!$A$1:$E$56,5,FALSE)</f>
        <v>5</v>
      </c>
      <c r="V331" s="228"/>
      <c r="W331" s="218"/>
      <c r="X331" s="228"/>
      <c r="Y331" s="228"/>
      <c r="Z331" s="228"/>
      <c r="AA331" s="229">
        <f ca="1">Table2[[#This Row],[End Date]]+2-TODAY()</f>
        <v>102</v>
      </c>
      <c r="AB331" s="228">
        <f>IF(ISBLANK(#REF!),1,0)</f>
        <v>0</v>
      </c>
      <c r="AC331" s="228">
        <f ca="1">IF(Table2[[#This Row],[Start Date]]&gt;TODAY(),1,)</f>
        <v>1</v>
      </c>
    </row>
    <row r="332" spans="1:29" s="215" customFormat="1">
      <c r="A332" s="224"/>
      <c r="B332" s="256" t="s">
        <v>236</v>
      </c>
      <c r="C332" s="225" t="str">
        <f>VLOOKUP(Table2[[#This Row],[Course Title]],Data!$A$1:$E$56,2,FALSE)</f>
        <v>A-493-0103</v>
      </c>
      <c r="D332" s="225" t="str">
        <f>VLOOKUP(Table2[[#This Row],[Course Title]],Data!$A$1:$E$56,3,FALSE)</f>
        <v>12JY</v>
      </c>
      <c r="E332" s="250" t="s">
        <v>102</v>
      </c>
      <c r="F332" s="245">
        <v>45495</v>
      </c>
      <c r="G332" s="245">
        <v>45499</v>
      </c>
      <c r="H332" s="227">
        <v>0.33333333333333331</v>
      </c>
      <c r="I332" s="227"/>
      <c r="J332" s="226"/>
      <c r="K332" s="226"/>
      <c r="L332" s="226"/>
      <c r="M332" s="226"/>
      <c r="N332" s="226"/>
      <c r="O332" s="218" t="e">
        <v>#REF!</v>
      </c>
      <c r="P332" s="218" t="e">
        <v>#REF!</v>
      </c>
      <c r="Q332" s="214"/>
      <c r="T332" s="228">
        <f>VLOOKUP(Table2[[#This Row],[Course Title]],Data!$A$1:$E$56,4,FALSE)</f>
        <v>25</v>
      </c>
      <c r="U332" s="228">
        <f>VLOOKUP(Table2[[#This Row],[Course Title]],Data!$A$1:$E$56,5,FALSE)</f>
        <v>5</v>
      </c>
      <c r="V332" s="228"/>
      <c r="W332" s="218"/>
      <c r="X332" s="228"/>
      <c r="Y332" s="228"/>
      <c r="Z332" s="218"/>
      <c r="AA332" s="229">
        <f ca="1">Table2[[#This Row],[End Date]]+2-TODAY()</f>
        <v>102</v>
      </c>
      <c r="AB332" s="228">
        <f>IF(ISBLANK(#REF!),1,0)</f>
        <v>0</v>
      </c>
      <c r="AC332" s="228">
        <f ca="1">IF(Table2[[#This Row],[Start Date]]&gt;TODAY(),1,)</f>
        <v>1</v>
      </c>
    </row>
    <row r="333" spans="1:29" s="215" customFormat="1">
      <c r="B333" s="256" t="s">
        <v>15</v>
      </c>
      <c r="C333" s="225" t="str">
        <f>VLOOKUP(Table2[[#This Row],[Course Title]],Data!$A$1:$E$56,2,FALSE)</f>
        <v>A-493-0021</v>
      </c>
      <c r="D333" s="225" t="str">
        <f>VLOOKUP(Table2[[#This Row],[Course Title]],Data!$A$1:$E$56,3,FALSE)</f>
        <v>18BN</v>
      </c>
      <c r="E333" s="250" t="s">
        <v>147</v>
      </c>
      <c r="F333" s="245">
        <v>45495</v>
      </c>
      <c r="G333" s="245">
        <v>45499</v>
      </c>
      <c r="H333" s="227">
        <v>0.33333333333333331</v>
      </c>
      <c r="I333" s="227"/>
      <c r="J333" s="226"/>
      <c r="K333" s="226"/>
      <c r="L333" s="226"/>
      <c r="M333" s="226"/>
      <c r="N333" s="226"/>
      <c r="O333" s="213" t="e">
        <v>#REF!</v>
      </c>
      <c r="P333" s="213" t="e">
        <v>#REF!</v>
      </c>
      <c r="Q333" s="214"/>
      <c r="T333" s="228">
        <f>VLOOKUP(Table2[[#This Row],[Course Title]],Data!$A$1:$E$56,4,FALSE)</f>
        <v>35</v>
      </c>
      <c r="U333" s="228">
        <f>VLOOKUP(Table2[[#This Row],[Course Title]],Data!$A$1:$E$56,5,FALSE)</f>
        <v>5</v>
      </c>
      <c r="V333" s="228"/>
      <c r="W333" s="218"/>
      <c r="X333" s="228"/>
      <c r="Y333" s="228"/>
      <c r="Z333" s="228"/>
      <c r="AA333" s="229">
        <f ca="1">Table2[[#This Row],[End Date]]+2-TODAY()</f>
        <v>102</v>
      </c>
      <c r="AB333" s="228">
        <f>IF(ISBLANK(#REF!),1,0)</f>
        <v>0</v>
      </c>
      <c r="AC333" s="228">
        <f ca="1">IF(Table2[[#This Row],[Start Date]]&gt;TODAY(),1,)</f>
        <v>1</v>
      </c>
    </row>
    <row r="334" spans="1:29" s="215" customFormat="1">
      <c r="B334" s="256" t="s">
        <v>242</v>
      </c>
      <c r="C334" s="225" t="str">
        <f>VLOOKUP(Table2[[#This Row],[Course Title]],Data!$A$1:$E$56,2,FALSE)</f>
        <v>A-493-0061</v>
      </c>
      <c r="D334" s="225" t="str">
        <f>VLOOKUP(Table2[[#This Row],[Course Title]],Data!$A$1:$E$56,3,FALSE)</f>
        <v>288E</v>
      </c>
      <c r="E334" s="224" t="s">
        <v>116</v>
      </c>
      <c r="F334" s="245">
        <v>45495</v>
      </c>
      <c r="G334" s="245">
        <v>45499</v>
      </c>
      <c r="H334" s="226"/>
      <c r="I334" s="244">
        <v>0.33333333333333331</v>
      </c>
      <c r="J334" s="244">
        <v>0.20833333333333334</v>
      </c>
      <c r="K334" s="244">
        <v>0.625</v>
      </c>
      <c r="L334" s="244">
        <v>0.54166666666666663</v>
      </c>
      <c r="M334" s="244">
        <v>8.3333333333333329E-2</v>
      </c>
      <c r="N334" s="244">
        <v>0.875</v>
      </c>
      <c r="O334" s="213" t="e">
        <v>#REF!</v>
      </c>
      <c r="P334" s="213" t="e">
        <v>#REF!</v>
      </c>
      <c r="Q334" s="213"/>
      <c r="T334" s="228">
        <f>VLOOKUP(Table2[[#This Row],[Course Title]],Data!$A$1:$E$56,4,FALSE)</f>
        <v>45</v>
      </c>
      <c r="U334" s="228">
        <f>VLOOKUP(Table2[[#This Row],[Course Title]],Data!$A$1:$E$56,5,FALSE)</f>
        <v>5</v>
      </c>
      <c r="V334" s="228"/>
      <c r="W334" s="218"/>
      <c r="X334" s="228"/>
      <c r="Y334" s="228"/>
      <c r="Z334" s="225"/>
      <c r="AA334" s="229">
        <f ca="1">Table2[[#This Row],[End Date]]+2-TODAY()</f>
        <v>102</v>
      </c>
      <c r="AB334" s="228">
        <f>IF(ISBLANK(#REF!),1,0)</f>
        <v>0</v>
      </c>
      <c r="AC334" s="228">
        <f ca="1">IF(Table2[[#This Row],[Start Date]]&gt;TODAY(),1,)</f>
        <v>1</v>
      </c>
    </row>
    <row r="335" spans="1:29" s="215" customFormat="1">
      <c r="B335" s="259" t="s">
        <v>248</v>
      </c>
      <c r="C335" s="225" t="str">
        <f>VLOOKUP(Table2[[#This Row],[Course Title]],Data!$A$1:$E$56,2,FALSE)</f>
        <v>A-322-2604</v>
      </c>
      <c r="D335" s="225" t="str">
        <f>VLOOKUP(Table2[[#This Row],[Course Title]],Data!$A$1:$E$56,3,FALSE)</f>
        <v>10ZZ</v>
      </c>
      <c r="E335" s="250" t="s">
        <v>116</v>
      </c>
      <c r="F335" s="245">
        <v>45495</v>
      </c>
      <c r="G335" s="245">
        <v>45499</v>
      </c>
      <c r="H335" s="226"/>
      <c r="I335" s="244">
        <v>0.54166666666666663</v>
      </c>
      <c r="J335" s="244">
        <v>0.41666666666666669</v>
      </c>
      <c r="K335" s="244">
        <v>0.83333333333333337</v>
      </c>
      <c r="L335" s="244">
        <v>0.75</v>
      </c>
      <c r="M335" s="244">
        <v>0.29166666666666669</v>
      </c>
      <c r="N335" s="244">
        <v>8.3333333333333329E-2</v>
      </c>
      <c r="O335" s="218" t="e">
        <v>#REF!</v>
      </c>
      <c r="P335" s="213" t="e">
        <v>#REF!</v>
      </c>
      <c r="Q335" s="218"/>
      <c r="T335" s="228">
        <f>VLOOKUP(Table2[[#This Row],[Course Title]],Data!$A$1:$E$56,4,FALSE)</f>
        <v>45</v>
      </c>
      <c r="U335" s="228">
        <f>VLOOKUP(Table2[[#This Row],[Course Title]],Data!$A$1:$E$56,5,FALSE)</f>
        <v>5</v>
      </c>
      <c r="V335" s="228"/>
      <c r="W335" s="218"/>
      <c r="X335" s="228"/>
      <c r="Y335" s="228"/>
      <c r="Z335" s="228"/>
      <c r="AA335" s="229">
        <f ca="1">Table2[[#This Row],[End Date]]+2-TODAY()</f>
        <v>102</v>
      </c>
      <c r="AB335" s="228">
        <f>IF(ISBLANK(#REF!),1,0)</f>
        <v>0</v>
      </c>
      <c r="AC335" s="228">
        <f ca="1">IF(Table2[[#This Row],[Start Date]]&gt;TODAY(),1,)</f>
        <v>1</v>
      </c>
    </row>
    <row r="336" spans="1:29" s="215" customFormat="1">
      <c r="A336" s="224"/>
      <c r="B336" s="256" t="s">
        <v>270</v>
      </c>
      <c r="C336" s="225" t="str">
        <f>VLOOKUP(Table2[[#This Row],[Course Title]],Data!$A$1:$E$56,2,FALSE)</f>
        <v>A-493-0335</v>
      </c>
      <c r="D336" s="225" t="str">
        <f>VLOOKUP(Table2[[#This Row],[Course Title]],Data!$A$1:$E$56,3,FALSE)</f>
        <v>09ND</v>
      </c>
      <c r="E336" s="250" t="s">
        <v>116</v>
      </c>
      <c r="F336" s="245">
        <v>45495</v>
      </c>
      <c r="G336" s="245">
        <v>45498</v>
      </c>
      <c r="H336" s="226"/>
      <c r="I336" s="244">
        <v>0.5</v>
      </c>
      <c r="J336" s="244">
        <v>0.375</v>
      </c>
      <c r="K336" s="244">
        <v>0.79166666666666663</v>
      </c>
      <c r="L336" s="244">
        <v>0.70833333333333337</v>
      </c>
      <c r="M336" s="244">
        <v>0.25</v>
      </c>
      <c r="N336" s="244">
        <v>4.1666666666666664E-2</v>
      </c>
      <c r="O336" s="213" t="e">
        <v>#REF!</v>
      </c>
      <c r="P336" s="213" t="e">
        <v>#REF!</v>
      </c>
      <c r="Q336" s="214"/>
      <c r="T336" s="228">
        <f>VLOOKUP(Table2[[#This Row],[Course Title]],Data!$A$1:$E$56,4,FALSE)</f>
        <v>30</v>
      </c>
      <c r="U336" s="228">
        <f>VLOOKUP(Table2[[#This Row],[Course Title]],Data!$A$1:$E$56,5,FALSE)</f>
        <v>4</v>
      </c>
      <c r="V336" s="228"/>
      <c r="W336" s="218"/>
      <c r="X336" s="228"/>
      <c r="Y336" s="228"/>
      <c r="Z336" s="228"/>
      <c r="AA336" s="229">
        <f ca="1">Table2[[#This Row],[End Date]]+2-TODAY()</f>
        <v>101</v>
      </c>
      <c r="AB336" s="228">
        <f>IF(ISBLANK(#REF!),1,0)</f>
        <v>0</v>
      </c>
      <c r="AC336" s="228">
        <f ca="1">IF(Table2[[#This Row],[Start Date]]&gt;TODAY(),1,)</f>
        <v>1</v>
      </c>
    </row>
    <row r="337" spans="1:29" s="215" customFormat="1">
      <c r="B337" s="256" t="s">
        <v>276</v>
      </c>
      <c r="C337" s="225" t="str">
        <f>VLOOKUP(Table2[[#This Row],[Course Title]],Data!$A$1:$E$56,2,FALSE)</f>
        <v>A-493-0550</v>
      </c>
      <c r="D337" s="225" t="str">
        <f>VLOOKUP(Table2[[#This Row],[Course Title]],Data!$A$1:$E$56,3,FALSE)</f>
        <v>09K5</v>
      </c>
      <c r="E337" s="256" t="s">
        <v>116</v>
      </c>
      <c r="F337" s="245">
        <v>45495</v>
      </c>
      <c r="G337" s="245">
        <v>45499</v>
      </c>
      <c r="H337" s="226"/>
      <c r="I337" s="244">
        <v>0.79166666666666663</v>
      </c>
      <c r="J337" s="244">
        <v>0.66666666666666663</v>
      </c>
      <c r="K337" s="244">
        <v>8.3333333333333329E-2</v>
      </c>
      <c r="L337" s="244">
        <v>0</v>
      </c>
      <c r="M337" s="244">
        <v>0.54166666666666663</v>
      </c>
      <c r="N337" s="244">
        <v>0.33333333333333331</v>
      </c>
      <c r="O337" s="213" t="e">
        <v>#REF!</v>
      </c>
      <c r="P337" s="213" t="e">
        <v>#REF!</v>
      </c>
      <c r="Q337" s="214"/>
      <c r="T337" s="228">
        <f>VLOOKUP(Table2[[#This Row],[Course Title]],Data!$A$1:$E$56,4,FALSE)</f>
        <v>45</v>
      </c>
      <c r="U337" s="228">
        <f>VLOOKUP(Table2[[#This Row],[Course Title]],Data!$A$1:$E$56,5,FALSE)</f>
        <v>4</v>
      </c>
      <c r="V337" s="228"/>
      <c r="W337" s="218"/>
      <c r="X337" s="228"/>
      <c r="Y337" s="228"/>
      <c r="Z337" s="228"/>
      <c r="AA337" s="229">
        <f ca="1">Table2[[#This Row],[End Date]]+2-TODAY()</f>
        <v>102</v>
      </c>
      <c r="AB337" s="228">
        <f>IF(ISBLANK(#REF!),1,0)</f>
        <v>0</v>
      </c>
      <c r="AC337" s="228">
        <f ca="1">IF(Table2[[#This Row],[Start Date]]&gt;TODAY(),1,)</f>
        <v>1</v>
      </c>
    </row>
    <row r="338" spans="1:29" s="215" customFormat="1">
      <c r="B338" s="256" t="s">
        <v>287</v>
      </c>
      <c r="C338" s="225" t="str">
        <f>VLOOKUP(Table2[[#This Row],[Course Title]],Data!$A$1:$E$56,2,FALSE)</f>
        <v>A-493-0078</v>
      </c>
      <c r="D338" s="225">
        <f>VLOOKUP(Table2[[#This Row],[Course Title]],Data!$A$1:$E$56,3,FALSE)</f>
        <v>1228</v>
      </c>
      <c r="E338" s="256" t="s">
        <v>116</v>
      </c>
      <c r="F338" s="245">
        <v>45495</v>
      </c>
      <c r="G338" s="245">
        <v>45499</v>
      </c>
      <c r="H338" s="226"/>
      <c r="I338" s="244">
        <v>0.79166666666666663</v>
      </c>
      <c r="J338" s="244">
        <v>0.66666666666666663</v>
      </c>
      <c r="K338" s="244">
        <v>8.3333333333333329E-2</v>
      </c>
      <c r="L338" s="244">
        <v>0</v>
      </c>
      <c r="M338" s="244">
        <v>0.54166666666666663</v>
      </c>
      <c r="N338" s="244">
        <v>0.33333333333333331</v>
      </c>
      <c r="O338" s="213" t="e">
        <v>#REF!</v>
      </c>
      <c r="P338" s="213" t="e">
        <v>#REF!</v>
      </c>
      <c r="Q338" s="214"/>
      <c r="T338" s="228">
        <f>VLOOKUP(Table2[[#This Row],[Course Title]],Data!$A$1:$E$56,4,FALSE)</f>
        <v>45</v>
      </c>
      <c r="U338" s="228">
        <f>VLOOKUP(Table2[[#This Row],[Course Title]],Data!$A$1:$E$56,5,FALSE)</f>
        <v>5</v>
      </c>
      <c r="V338" s="228"/>
      <c r="W338" s="218"/>
      <c r="X338" s="228"/>
      <c r="Y338" s="228"/>
      <c r="Z338" s="228"/>
      <c r="AA338" s="229">
        <f ca="1">Table2[[#This Row],[End Date]]+2-TODAY()</f>
        <v>102</v>
      </c>
      <c r="AB338" s="228">
        <f>IF(ISBLANK(#REF!),1,0)</f>
        <v>0</v>
      </c>
      <c r="AC338" s="228">
        <f ca="1">IF(Table2[[#This Row],[Start Date]]&gt;TODAY(),1,)</f>
        <v>1</v>
      </c>
    </row>
    <row r="339" spans="1:29" s="215" customFormat="1">
      <c r="B339" s="256" t="s">
        <v>299</v>
      </c>
      <c r="C339" s="225" t="str">
        <f>VLOOKUP(Table2[[#This Row],[Course Title]],Data!$A$1:$E$56,2,FALSE)</f>
        <v>A-570-0100</v>
      </c>
      <c r="D339" s="225" t="str">
        <f>VLOOKUP(Table2[[#This Row],[Course Title]],Data!$A$1:$E$56,3,FALSE)</f>
        <v>18B7</v>
      </c>
      <c r="E339" s="256" t="s">
        <v>116</v>
      </c>
      <c r="F339" s="245">
        <v>45495</v>
      </c>
      <c r="G339" s="245">
        <v>45498</v>
      </c>
      <c r="H339" s="226"/>
      <c r="I339" s="244">
        <v>0.54166666666666663</v>
      </c>
      <c r="J339" s="244">
        <v>0.41666666666666669</v>
      </c>
      <c r="K339" s="244">
        <v>0.83333333333333337</v>
      </c>
      <c r="L339" s="244">
        <v>0.75</v>
      </c>
      <c r="M339" s="244">
        <v>0.29166666666666669</v>
      </c>
      <c r="N339" s="244">
        <v>8.3333333333333329E-2</v>
      </c>
      <c r="O339" s="218" t="e">
        <v>#REF!</v>
      </c>
      <c r="P339" s="213" t="e">
        <v>#REF!</v>
      </c>
      <c r="Q339" s="218"/>
      <c r="T339" s="228">
        <f>VLOOKUP(Table2[[#This Row],[Course Title]],Data!$A$1:$E$56,4,FALSE)</f>
        <v>30</v>
      </c>
      <c r="U339" s="228">
        <f>VLOOKUP(Table2[[#This Row],[Course Title]],Data!$A$1:$E$56,5,FALSE)</f>
        <v>4</v>
      </c>
      <c r="V339" s="228"/>
      <c r="W339" s="218"/>
      <c r="X339" s="228"/>
      <c r="Y339" s="228"/>
      <c r="Z339" s="228"/>
      <c r="AA339" s="229">
        <f ca="1">Table2[[#This Row],[End Date]]+2-TODAY()</f>
        <v>101</v>
      </c>
      <c r="AB339" s="228">
        <f>IF(ISBLANK(#REF!),1,0)</f>
        <v>0</v>
      </c>
      <c r="AC339" s="228">
        <f ca="1">IF(Table2[[#This Row],[Start Date]]&gt;TODAY(),1,)</f>
        <v>1</v>
      </c>
    </row>
    <row r="340" spans="1:29" s="234" customFormat="1" ht="15.75" customHeight="1">
      <c r="A340" s="215"/>
      <c r="B340" s="256" t="s">
        <v>18</v>
      </c>
      <c r="C340" s="225" t="str">
        <f>VLOOKUP(Table2[[#This Row],[Course Title]],Data!$A$1:$E$56,2,FALSE)</f>
        <v>A-493-0013</v>
      </c>
      <c r="D340" s="225">
        <f>VLOOKUP(Table2[[#This Row],[Course Title]],Data!$A$1:$E$56,3,FALSE)</f>
        <v>3683</v>
      </c>
      <c r="E340" s="260" t="s">
        <v>329</v>
      </c>
      <c r="F340" s="245">
        <v>45496</v>
      </c>
      <c r="G340" s="245">
        <v>45498</v>
      </c>
      <c r="H340" s="227">
        <v>0.33333333333333331</v>
      </c>
      <c r="I340" s="227"/>
      <c r="J340" s="227"/>
      <c r="K340" s="227"/>
      <c r="L340" s="227"/>
      <c r="M340" s="227"/>
      <c r="N340" s="226"/>
      <c r="O340" s="213" t="e">
        <v>#REF!</v>
      </c>
      <c r="P340" s="213" t="e">
        <v>#REF!</v>
      </c>
      <c r="Q340" s="214"/>
      <c r="R340" s="215"/>
      <c r="S340" s="215"/>
      <c r="T340" s="228">
        <f>VLOOKUP(Table2[[#This Row],[Course Title]],Data!$A$1:$E$56,4,FALSE)</f>
        <v>40</v>
      </c>
      <c r="U340" s="228">
        <v>3</v>
      </c>
      <c r="V340" s="228"/>
      <c r="W340" s="218"/>
      <c r="X340" s="228"/>
      <c r="Y340" s="228"/>
      <c r="Z340" s="228"/>
      <c r="AA340" s="229">
        <f ca="1">Table2[[#This Row],[End Date]]+2-TODAY()</f>
        <v>101</v>
      </c>
      <c r="AB340" s="228">
        <f>IF(ISBLANK(#REF!),1,0)</f>
        <v>0</v>
      </c>
      <c r="AC340" s="228">
        <f ca="1">IF(Table2[[#This Row],[Start Date]]&gt;TODAY(),1,)</f>
        <v>1</v>
      </c>
    </row>
    <row r="341" spans="1:29" s="234" customFormat="1" ht="15.75" customHeight="1">
      <c r="A341" s="224"/>
      <c r="B341" s="256" t="s">
        <v>28</v>
      </c>
      <c r="C341" s="225" t="str">
        <f>VLOOKUP(Table2[[#This Row],[Course Title]],Data!$A$1:$E$56,2,FALSE)</f>
        <v>A-493-0092</v>
      </c>
      <c r="D341" s="225">
        <f>VLOOKUP(Table2[[#This Row],[Course Title]],Data!$A$1:$E$56,3,FALSE)</f>
        <v>5891</v>
      </c>
      <c r="E341" s="260" t="s">
        <v>329</v>
      </c>
      <c r="F341" s="245">
        <v>45496</v>
      </c>
      <c r="G341" s="245">
        <v>45498</v>
      </c>
      <c r="H341" s="227">
        <v>0.33333333333333331</v>
      </c>
      <c r="I341" s="227"/>
      <c r="J341" s="226"/>
      <c r="K341" s="226"/>
      <c r="L341" s="226"/>
      <c r="M341" s="226"/>
      <c r="N341" s="226"/>
      <c r="O341" s="213" t="e">
        <v>#REF!</v>
      </c>
      <c r="P341" s="213" t="e">
        <v>#REF!</v>
      </c>
      <c r="Q341" s="214"/>
      <c r="R341" s="215"/>
      <c r="S341" s="215"/>
      <c r="T341" s="228">
        <f>VLOOKUP(Table2[[#This Row],[Course Title]],Data!$A$1:$E$56,4,FALSE)</f>
        <v>25</v>
      </c>
      <c r="U341" s="228">
        <f>VLOOKUP(Table2[[#This Row],[Course Title]],Data!$A$1:$E$56,5,FALSE)</f>
        <v>3</v>
      </c>
      <c r="V341" s="228"/>
      <c r="W341" s="218"/>
      <c r="X341" s="228"/>
      <c r="Y341" s="228"/>
      <c r="Z341" s="228"/>
      <c r="AA341" s="229">
        <f ca="1">Table2[[#This Row],[End Date]]+2-TODAY()</f>
        <v>101</v>
      </c>
      <c r="AB341" s="228">
        <f>IF(ISBLANK(#REF!),1,0)</f>
        <v>0</v>
      </c>
      <c r="AC341" s="228">
        <f ca="1">IF(Table2[[#This Row],[Start Date]]&gt;TODAY(),1,)</f>
        <v>1</v>
      </c>
    </row>
    <row r="342" spans="1:29" s="234" customFormat="1" ht="15.75" customHeight="1">
      <c r="A342" s="215"/>
      <c r="B342" s="256" t="s">
        <v>284</v>
      </c>
      <c r="C342" s="225" t="str">
        <f>VLOOKUP(Table2[[#This Row],[Course Title]],Data!$A$1:$E$56,2,FALSE)</f>
        <v>A-493-0073</v>
      </c>
      <c r="D342" s="225" t="str">
        <f>VLOOKUP(Table2[[#This Row],[Course Title]],Data!$A$1:$E$56,3,FALSE)</f>
        <v>714S</v>
      </c>
      <c r="E342" s="256" t="s">
        <v>116</v>
      </c>
      <c r="F342" s="245">
        <v>45496</v>
      </c>
      <c r="G342" s="245">
        <v>45499</v>
      </c>
      <c r="H342" s="226"/>
      <c r="I342" s="244">
        <v>0.33333333333333331</v>
      </c>
      <c r="J342" s="244">
        <v>0.20833333333333334</v>
      </c>
      <c r="K342" s="244">
        <v>0.625</v>
      </c>
      <c r="L342" s="244">
        <v>0.54166666666666663</v>
      </c>
      <c r="M342" s="244">
        <v>8.3333333333333329E-2</v>
      </c>
      <c r="N342" s="244">
        <v>0.875</v>
      </c>
      <c r="O342" s="213" t="e">
        <v>#REF!</v>
      </c>
      <c r="P342" s="213" t="e">
        <v>#REF!</v>
      </c>
      <c r="Q342" s="213"/>
      <c r="R342" s="215"/>
      <c r="S342" s="215"/>
      <c r="T342" s="228">
        <f>VLOOKUP(Table2[[#This Row],[Course Title]],Data!$A$1:$E$56,4,FALSE)</f>
        <v>30</v>
      </c>
      <c r="U342" s="228">
        <f>VLOOKUP(Table2[[#This Row],[Course Title]],Data!$A$1:$E$56,5,FALSE)</f>
        <v>4</v>
      </c>
      <c r="V342" s="228"/>
      <c r="W342" s="218"/>
      <c r="X342" s="228"/>
      <c r="Y342" s="228"/>
      <c r="Z342" s="221"/>
      <c r="AA342" s="229">
        <f ca="1">Table2[[#This Row],[End Date]]+2-TODAY()</f>
        <v>102</v>
      </c>
      <c r="AB342" s="228">
        <f>IF(ISBLANK(#REF!),1,0)</f>
        <v>0</v>
      </c>
      <c r="AC342" s="228">
        <f ca="1">IF(Table2[[#This Row],[Start Date]]&gt;TODAY(),1,)</f>
        <v>1</v>
      </c>
    </row>
    <row r="343" spans="1:29" s="234" customFormat="1" ht="15.75" customHeight="1">
      <c r="A343" s="215"/>
      <c r="B343" s="256" t="s">
        <v>18</v>
      </c>
      <c r="C343" s="225" t="str">
        <f>VLOOKUP(Table2[[#This Row],[Course Title]],Data!$A$1:$E$56,2,FALSE)</f>
        <v>A-493-0013</v>
      </c>
      <c r="D343" s="225">
        <f>VLOOKUP(Table2[[#This Row],[Course Title]],Data!$A$1:$E$56,3,FALSE)</f>
        <v>3683</v>
      </c>
      <c r="E343" s="256" t="s">
        <v>135</v>
      </c>
      <c r="F343" s="245">
        <v>45497</v>
      </c>
      <c r="G343" s="245">
        <v>45499</v>
      </c>
      <c r="H343" s="227">
        <v>0.33333333333333331</v>
      </c>
      <c r="I343" s="227"/>
      <c r="J343" s="227"/>
      <c r="K343" s="227"/>
      <c r="L343" s="227"/>
      <c r="M343" s="227"/>
      <c r="N343" s="226"/>
      <c r="O343" s="213" t="e">
        <v>#REF!</v>
      </c>
      <c r="P343" s="213" t="e">
        <v>#REF!</v>
      </c>
      <c r="Q343" s="214"/>
      <c r="R343" s="215"/>
      <c r="S343" s="215"/>
      <c r="T343" s="228">
        <f>VLOOKUP(Table2[[#This Row],[Course Title]],Data!$A$1:$E$56,4,FALSE)</f>
        <v>40</v>
      </c>
      <c r="U343" s="228">
        <v>3</v>
      </c>
      <c r="V343" s="228"/>
      <c r="W343" s="218"/>
      <c r="X343" s="228"/>
      <c r="Y343" s="228"/>
      <c r="Z343" s="228"/>
      <c r="AA343" s="229">
        <f ca="1">Table2[[#This Row],[End Date]]+2-TODAY()</f>
        <v>102</v>
      </c>
      <c r="AB343" s="228">
        <f>IF(ISBLANK(#REF!),1,0)</f>
        <v>0</v>
      </c>
      <c r="AC343" s="228">
        <f ca="1">IF(Table2[[#This Row],[Start Date]]&gt;TODAY(),1,)</f>
        <v>1</v>
      </c>
    </row>
    <row r="344" spans="1:29" s="234" customFormat="1" ht="15.75" customHeight="1">
      <c r="A344" s="215"/>
      <c r="B344" s="250" t="s">
        <v>8</v>
      </c>
      <c r="C344" s="225" t="str">
        <f>VLOOKUP(Table2[[#This Row],[Course Title]],Data!$A$1:$E$56,2,FALSE)</f>
        <v>A-493-0019</v>
      </c>
      <c r="D344" s="225">
        <f>VLOOKUP(Table2[[#This Row],[Course Title]],Data!$A$1:$E$56,3,FALSE)</f>
        <v>3882</v>
      </c>
      <c r="E344" s="250" t="s">
        <v>147</v>
      </c>
      <c r="F344" s="245">
        <v>45498</v>
      </c>
      <c r="G344" s="245">
        <v>45499</v>
      </c>
      <c r="H344" s="246">
        <v>0.54166666666666663</v>
      </c>
      <c r="I344" s="246"/>
      <c r="J344" s="226"/>
      <c r="K344" s="226"/>
      <c r="L344" s="226"/>
      <c r="M344" s="226"/>
      <c r="N344" s="226"/>
      <c r="O344" s="213" t="e">
        <v>#REF!</v>
      </c>
      <c r="P344" s="213" t="e">
        <v>#REF!</v>
      </c>
      <c r="Q344" s="214"/>
      <c r="R344" s="215"/>
      <c r="S344" s="215"/>
      <c r="T344" s="228">
        <f>VLOOKUP(Table2[[#This Row],[Course Title]],Data!$A$1:$E$56,4,FALSE)</f>
        <v>25</v>
      </c>
      <c r="U344" s="228">
        <f>VLOOKUP(Table2[[#This Row],[Course Title]],Data!$A$1:$E$56,5,FALSE)</f>
        <v>2</v>
      </c>
      <c r="V344" s="228"/>
      <c r="W344" s="218"/>
      <c r="X344" s="228"/>
      <c r="Y344" s="228"/>
      <c r="Z344" s="225"/>
      <c r="AA344" s="229">
        <f ca="1">Table2[[#This Row],[End Date]]+2-TODAY()</f>
        <v>102</v>
      </c>
      <c r="AB344" s="228">
        <f>IF(ISBLANK(#REF!),1,0)</f>
        <v>0</v>
      </c>
      <c r="AC344" s="228">
        <f ca="1">IF(Table2[[#This Row],[Start Date]]&gt;TODAY(),1,)</f>
        <v>1</v>
      </c>
    </row>
    <row r="345" spans="1:29" s="234" customFormat="1" ht="15.75" customHeight="1">
      <c r="A345" s="215"/>
      <c r="B345" s="250" t="s">
        <v>11</v>
      </c>
      <c r="C345" s="225" t="str">
        <f>VLOOKUP(Table2[[#This Row],[Course Title]],Data!$A$1:$E$56,2,FALSE)</f>
        <v>A-493-0070</v>
      </c>
      <c r="D345" s="225" t="str">
        <f>VLOOKUP(Table2[[#This Row],[Course Title]],Data!$A$1:$E$56,3,FALSE)</f>
        <v>450V</v>
      </c>
      <c r="E345" s="224" t="s">
        <v>147</v>
      </c>
      <c r="F345" s="245">
        <v>45502</v>
      </c>
      <c r="G345" s="245">
        <v>45502</v>
      </c>
      <c r="H345" s="246">
        <v>0.33333333333333331</v>
      </c>
      <c r="I345" s="246"/>
      <c r="J345" s="226"/>
      <c r="K345" s="226"/>
      <c r="L345" s="226"/>
      <c r="M345" s="226"/>
      <c r="N345" s="226"/>
      <c r="O345" s="213" t="e">
        <v>#REF!</v>
      </c>
      <c r="P345" s="213" t="e">
        <v>#REF!</v>
      </c>
      <c r="Q345" s="213"/>
      <c r="R345" s="215"/>
      <c r="S345" s="215"/>
      <c r="T345" s="228">
        <f>VLOOKUP(Table2[[#This Row],[Course Title]],Data!$A$1:$E$56,4,FALSE)</f>
        <v>30</v>
      </c>
      <c r="U345" s="228">
        <f>VLOOKUP(Table2[[#This Row],[Course Title]],Data!$A$1:$E$56,5,FALSE)</f>
        <v>1</v>
      </c>
      <c r="V345" s="228"/>
      <c r="W345" s="218"/>
      <c r="X345" s="228"/>
      <c r="Y345" s="228"/>
      <c r="Z345" s="228"/>
      <c r="AA345" s="229">
        <f ca="1">Table2[[#This Row],[End Date]]+2-TODAY()</f>
        <v>105</v>
      </c>
      <c r="AB345" s="228">
        <f>IF(ISBLANK(#REF!),1,0)</f>
        <v>0</v>
      </c>
      <c r="AC345" s="228">
        <f ca="1">IF(Table2[[#This Row],[Start Date]]&gt;TODAY(),1,)</f>
        <v>1</v>
      </c>
    </row>
    <row r="346" spans="1:29" s="234" customFormat="1" ht="15.75" customHeight="1">
      <c r="A346" s="215"/>
      <c r="B346" s="256" t="s">
        <v>312</v>
      </c>
      <c r="C346" s="225" t="str">
        <f>VLOOKUP(Table2[[#This Row],[Course Title]],Data!$A$1:$E$56,2,FALSE)</f>
        <v>A-493-2098</v>
      </c>
      <c r="D346" s="225" t="str">
        <f>VLOOKUP(Table2[[#This Row],[Course Title]],Data!$A$1:$E$56,3,FALSE)</f>
        <v>09WW</v>
      </c>
      <c r="E346" s="250" t="s">
        <v>116</v>
      </c>
      <c r="F346" s="245">
        <v>45502</v>
      </c>
      <c r="G346" s="245">
        <v>45506</v>
      </c>
      <c r="H346" s="226"/>
      <c r="I346" s="244">
        <v>0.54166666666666663</v>
      </c>
      <c r="J346" s="244">
        <v>0.41666666666666669</v>
      </c>
      <c r="K346" s="244">
        <v>0.83333333333333337</v>
      </c>
      <c r="L346" s="244">
        <v>0.75</v>
      </c>
      <c r="M346" s="244">
        <v>0.29166666666666669</v>
      </c>
      <c r="N346" s="244">
        <v>8.3333333333333329E-2</v>
      </c>
      <c r="O346" s="218" t="e">
        <v>#REF!</v>
      </c>
      <c r="P346" s="213" t="e">
        <v>#REF!</v>
      </c>
      <c r="Q346" s="218"/>
      <c r="R346" s="215"/>
      <c r="S346" s="215"/>
      <c r="T346" s="228">
        <f>VLOOKUP(Table2[[#This Row],[Course Title]],Data!$A$1:$E$56,4,FALSE)</f>
        <v>100</v>
      </c>
      <c r="U346" s="228">
        <f>VLOOKUP(Table2[[#This Row],[Course Title]],Data!$A$1:$E$56,5,FALSE)</f>
        <v>5</v>
      </c>
      <c r="V346" s="228"/>
      <c r="W346" s="218"/>
      <c r="X346" s="228"/>
      <c r="Y346" s="228"/>
      <c r="Z346" s="228"/>
      <c r="AA346" s="229">
        <f ca="1">Table2[[#This Row],[End Date]]+2-TODAY()</f>
        <v>109</v>
      </c>
      <c r="AB346" s="228">
        <f>IF(ISBLANK(#REF!),1,0)</f>
        <v>0</v>
      </c>
      <c r="AC346" s="228">
        <f ca="1">IF(Table2[[#This Row],[Start Date]]&gt;TODAY(),1,)</f>
        <v>1</v>
      </c>
    </row>
    <row r="347" spans="1:29" s="234" customFormat="1" ht="15.75" customHeight="1">
      <c r="A347" s="215"/>
      <c r="B347" s="250" t="s">
        <v>7</v>
      </c>
      <c r="C347" s="225" t="str">
        <f>VLOOKUP(Table2[[#This Row],[Course Title]],Data!$A$1:$E$56,2,FALSE)</f>
        <v>A-493-0015</v>
      </c>
      <c r="D347" s="225">
        <f>VLOOKUP(Table2[[#This Row],[Course Title]],Data!$A$1:$E$56,3,FALSE)</f>
        <v>3879</v>
      </c>
      <c r="E347" s="250" t="s">
        <v>147</v>
      </c>
      <c r="F347" s="261">
        <v>45503</v>
      </c>
      <c r="G347" s="262">
        <v>45503</v>
      </c>
      <c r="H347" s="246">
        <v>0.54166666666666663</v>
      </c>
      <c r="I347" s="246"/>
      <c r="J347" s="226"/>
      <c r="K347" s="226"/>
      <c r="L347" s="226"/>
      <c r="M347" s="226"/>
      <c r="N347" s="226"/>
      <c r="O347" s="213" t="e">
        <v>#REF!</v>
      </c>
      <c r="P347" s="213" t="e">
        <v>#REF!</v>
      </c>
      <c r="Q347" s="214"/>
      <c r="R347" s="215"/>
      <c r="S347" s="215"/>
      <c r="T347" s="228">
        <f>VLOOKUP(Table2[[#This Row],[Course Title]],Data!$A$1:$E$56,4,FALSE)</f>
        <v>30</v>
      </c>
      <c r="U347" s="228">
        <f>VLOOKUP(Table2[[#This Row],[Course Title]],Data!$A$1:$E$56,5,FALSE)</f>
        <v>1</v>
      </c>
      <c r="V347" s="228"/>
      <c r="W347" s="218"/>
      <c r="X347" s="228"/>
      <c r="Y347" s="228"/>
      <c r="Z347" s="228"/>
      <c r="AA347" s="229">
        <f ca="1">Table2[[#This Row],[End Date]]+2-TODAY()</f>
        <v>106</v>
      </c>
      <c r="AB347" s="228">
        <f>IF(ISBLANK(#REF!),1,0)</f>
        <v>0</v>
      </c>
      <c r="AC347" s="228">
        <f ca="1">IF(Table2[[#This Row],[Start Date]]&gt;TODAY(),1,)</f>
        <v>1</v>
      </c>
    </row>
    <row r="348" spans="1:29" s="234" customFormat="1" ht="15.75" customHeight="1">
      <c r="A348" s="224"/>
      <c r="B348" s="250" t="s">
        <v>9</v>
      </c>
      <c r="C348" s="225" t="str">
        <f>VLOOKUP(Table2[[#This Row],[Course Title]],Data!$A$1:$E$56,2,FALSE)</f>
        <v>A-493-0020</v>
      </c>
      <c r="D348" s="225">
        <f>VLOOKUP(Table2[[#This Row],[Course Title]],Data!$A$1:$E$56,3,FALSE)</f>
        <v>3888</v>
      </c>
      <c r="E348" s="250" t="s">
        <v>147</v>
      </c>
      <c r="F348" s="258">
        <v>45503</v>
      </c>
      <c r="G348" s="258">
        <v>45503</v>
      </c>
      <c r="H348" s="246">
        <v>0.54166666666666663</v>
      </c>
      <c r="I348" s="246"/>
      <c r="J348" s="226"/>
      <c r="K348" s="226"/>
      <c r="L348" s="226"/>
      <c r="M348" s="226"/>
      <c r="N348" s="226"/>
      <c r="O348" s="213" t="e">
        <v>#REF!</v>
      </c>
      <c r="P348" s="213" t="e">
        <v>#REF!</v>
      </c>
      <c r="Q348" s="214"/>
      <c r="R348" s="215"/>
      <c r="S348" s="215"/>
      <c r="T348" s="228">
        <f>VLOOKUP(Table2[[#This Row],[Course Title]],Data!$A$1:$E$56,4,FALSE)</f>
        <v>30</v>
      </c>
      <c r="U348" s="228">
        <f>VLOOKUP(Table2[[#This Row],[Course Title]],Data!$A$1:$E$56,5,FALSE)</f>
        <v>1</v>
      </c>
      <c r="V348" s="228"/>
      <c r="W348" s="218"/>
      <c r="X348" s="228"/>
      <c r="Y348" s="228"/>
      <c r="Z348" s="228"/>
      <c r="AA348" s="229">
        <f ca="1">Table2[[#This Row],[End Date]]+2-TODAY()</f>
        <v>106</v>
      </c>
      <c r="AB348" s="228">
        <f>IF(ISBLANK(#REF!),1,0)</f>
        <v>0</v>
      </c>
      <c r="AC348" s="228">
        <f ca="1">IF(Table2[[#This Row],[Start Date]]&gt;TODAY(),1,)</f>
        <v>1</v>
      </c>
    </row>
    <row r="349" spans="1:29" s="234" customFormat="1" ht="15.75" customHeight="1">
      <c r="A349" s="215"/>
      <c r="B349" s="250" t="s">
        <v>23</v>
      </c>
      <c r="C349" s="225" t="str">
        <f>VLOOKUP(Table2[[#This Row],[Course Title]],Data!$A$1:$E$56,2,FALSE)</f>
        <v>A-493-0077</v>
      </c>
      <c r="D349" s="225" t="str">
        <f>VLOOKUP(Table2[[#This Row],[Course Title]],Data!$A$1:$E$56,3,FALSE)</f>
        <v>0381</v>
      </c>
      <c r="E349" s="252" t="s">
        <v>166</v>
      </c>
      <c r="F349" s="257">
        <v>45503</v>
      </c>
      <c r="G349" s="257">
        <v>45505</v>
      </c>
      <c r="H349" s="244">
        <v>0.33333333333333331</v>
      </c>
      <c r="I349" s="244"/>
      <c r="J349" s="226"/>
      <c r="K349" s="226"/>
      <c r="L349" s="226"/>
      <c r="M349" s="226"/>
      <c r="N349" s="226"/>
      <c r="O349" s="218" t="e">
        <v>#REF!</v>
      </c>
      <c r="P349" s="213" t="e">
        <v>#REF!</v>
      </c>
      <c r="Q349" s="218"/>
      <c r="R349" s="215"/>
      <c r="S349" s="215"/>
      <c r="T349" s="228">
        <f>VLOOKUP(Table2[[#This Row],[Course Title]],Data!$A$1:$E$56,4,FALSE)</f>
        <v>25</v>
      </c>
      <c r="U349" s="228">
        <f>VLOOKUP(Table2[[#This Row],[Course Title]],Data!$A$1:$E$56,5,FALSE)</f>
        <v>3</v>
      </c>
      <c r="V349" s="228"/>
      <c r="W349" s="218"/>
      <c r="X349" s="228"/>
      <c r="Y349" s="228"/>
      <c r="Z349" s="228"/>
      <c r="AA349" s="229">
        <f ca="1">Table2[[#This Row],[End Date]]+2-TODAY()</f>
        <v>108</v>
      </c>
      <c r="AB349" s="228">
        <f>IF(ISBLANK(#REF!),1,0)</f>
        <v>0</v>
      </c>
      <c r="AC349" s="228">
        <f ca="1">IF(Table2[[#This Row],[Start Date]]&gt;TODAY(),1,)</f>
        <v>1</v>
      </c>
    </row>
    <row r="350" spans="1:29" s="234" customFormat="1" ht="15.75" customHeight="1">
      <c r="A350" s="224"/>
      <c r="B350" s="256" t="s">
        <v>266</v>
      </c>
      <c r="C350" s="225" t="str">
        <f>VLOOKUP(Table2[[#This Row],[Course Title]],Data!$A$1:$E$56,2,FALSE)</f>
        <v>A-493-0331</v>
      </c>
      <c r="D350" s="225" t="str">
        <f>VLOOKUP(Table2[[#This Row],[Course Title]],Data!$A$1:$E$56,3,FALSE)</f>
        <v>10UG</v>
      </c>
      <c r="E350" s="250" t="s">
        <v>116</v>
      </c>
      <c r="F350" s="258">
        <v>45503</v>
      </c>
      <c r="G350" s="258">
        <v>45505</v>
      </c>
      <c r="H350" s="226"/>
      <c r="I350" s="244">
        <v>0.54166666666666663</v>
      </c>
      <c r="J350" s="244">
        <v>0.41666666666666669</v>
      </c>
      <c r="K350" s="244">
        <v>0.83333333333333337</v>
      </c>
      <c r="L350" s="244">
        <v>0.75</v>
      </c>
      <c r="M350" s="244">
        <v>0.29166666666666669</v>
      </c>
      <c r="N350" s="244">
        <v>8.3333333333333329E-2</v>
      </c>
      <c r="O350" s="213" t="e">
        <v>#REF!</v>
      </c>
      <c r="P350" s="213" t="e">
        <v>#REF!</v>
      </c>
      <c r="Q350" s="214"/>
      <c r="R350" s="215"/>
      <c r="S350" s="215"/>
      <c r="T350" s="228">
        <f>VLOOKUP(Table2[[#This Row],[Course Title]],Data!$A$1:$E$56,4,FALSE)</f>
        <v>40</v>
      </c>
      <c r="U350" s="228">
        <f>VLOOKUP(Table2[[#This Row],[Course Title]],Data!$A$1:$E$56,5,FALSE)</f>
        <v>3</v>
      </c>
      <c r="V350" s="228"/>
      <c r="W350" s="218"/>
      <c r="X350" s="228"/>
      <c r="Y350" s="228"/>
      <c r="Z350" s="228"/>
      <c r="AA350" s="229">
        <f ca="1">Table2[[#This Row],[End Date]]+2-TODAY()</f>
        <v>108</v>
      </c>
      <c r="AB350" s="228">
        <f>IF(ISBLANK(#REF!),1,0)</f>
        <v>0</v>
      </c>
      <c r="AC350" s="228">
        <f ca="1">IF(Table2[[#This Row],[Start Date]]&gt;TODAY(),1,)</f>
        <v>1</v>
      </c>
    </row>
    <row r="351" spans="1:29" s="234" customFormat="1" ht="15.75" customHeight="1">
      <c r="A351" s="224"/>
      <c r="B351" s="250" t="s">
        <v>16</v>
      </c>
      <c r="C351" s="225" t="str">
        <f>VLOOKUP(Table2[[#This Row],[Course Title]],Data!$A$1:$E$56,2,FALSE)</f>
        <v>A-760-2166</v>
      </c>
      <c r="D351" s="225" t="str">
        <f>VLOOKUP(Table2[[#This Row],[Course Title]],Data!$A$1:$E$56,3,FALSE)</f>
        <v>438J</v>
      </c>
      <c r="E351" s="250" t="s">
        <v>147</v>
      </c>
      <c r="F351" s="258">
        <v>45504</v>
      </c>
      <c r="G351" s="258">
        <v>45505</v>
      </c>
      <c r="H351" s="227">
        <v>0.33333333333333331</v>
      </c>
      <c r="I351" s="227"/>
      <c r="J351" s="226"/>
      <c r="K351" s="226"/>
      <c r="L351" s="226"/>
      <c r="M351" s="226"/>
      <c r="N351" s="226"/>
      <c r="O351" s="213" t="e">
        <v>#REF!</v>
      </c>
      <c r="P351" s="213" t="e">
        <v>#REF!</v>
      </c>
      <c r="Q351" s="214"/>
      <c r="R351" s="215"/>
      <c r="S351" s="215"/>
      <c r="T351" s="228">
        <f>VLOOKUP(Table2[[#This Row],[Course Title]],Data!$A$1:$E$56,4,FALSE)</f>
        <v>25</v>
      </c>
      <c r="U351" s="228">
        <f>VLOOKUP(Table2[[#This Row],[Course Title]],Data!$A$1:$E$56,5,FALSE)</f>
        <v>2</v>
      </c>
      <c r="V351" s="228"/>
      <c r="W351" s="218"/>
      <c r="X351" s="228"/>
      <c r="Y351" s="228"/>
      <c r="Z351" s="228"/>
      <c r="AA351" s="229">
        <f ca="1">Table2[[#This Row],[End Date]]+2-TODAY()</f>
        <v>108</v>
      </c>
      <c r="AB351" s="228">
        <f>IF(ISBLANK(#REF!),1,0)</f>
        <v>0</v>
      </c>
      <c r="AC351" s="228">
        <f ca="1">IF(Table2[[#This Row],[Start Date]]&gt;TODAY(),1,)</f>
        <v>1</v>
      </c>
    </row>
    <row r="352" spans="1:29" s="234" customFormat="1" ht="15.75" customHeight="1">
      <c r="A352" s="215"/>
      <c r="B352" s="250" t="s">
        <v>18</v>
      </c>
      <c r="C352" s="225" t="str">
        <f>VLOOKUP(Table2[[#This Row],[Course Title]],Data!$A$1:$E$56,2,FALSE)</f>
        <v>A-493-0013</v>
      </c>
      <c r="D352" s="225">
        <f>VLOOKUP(Table2[[#This Row],[Course Title]],Data!$A$1:$E$56,3,FALSE)</f>
        <v>3683</v>
      </c>
      <c r="E352" s="252" t="s">
        <v>146</v>
      </c>
      <c r="F352" s="258">
        <v>45504</v>
      </c>
      <c r="G352" s="258">
        <v>45506</v>
      </c>
      <c r="H352" s="227">
        <v>0.33333333333333331</v>
      </c>
      <c r="I352" s="227"/>
      <c r="J352" s="226"/>
      <c r="K352" s="226"/>
      <c r="L352" s="226"/>
      <c r="M352" s="226"/>
      <c r="N352" s="226"/>
      <c r="O352" s="218" t="e">
        <v>#REF!</v>
      </c>
      <c r="P352" s="213" t="e">
        <v>#REF!</v>
      </c>
      <c r="Q352" s="218"/>
      <c r="R352" s="215"/>
      <c r="S352" s="215"/>
      <c r="T352" s="228">
        <f>VLOOKUP(Table2[[#This Row],[Course Title]],Data!$A$1:$E$56,4,FALSE)</f>
        <v>40</v>
      </c>
      <c r="U352" s="228">
        <v>3</v>
      </c>
      <c r="V352" s="228"/>
      <c r="W352" s="218"/>
      <c r="X352" s="228"/>
      <c r="Y352" s="228"/>
      <c r="Z352" s="228"/>
      <c r="AA352" s="229">
        <f ca="1">Table2[[#This Row],[End Date]]+2-TODAY()</f>
        <v>109</v>
      </c>
      <c r="AB352" s="228">
        <f>IF(ISBLANK(#REF!),1,0)</f>
        <v>0</v>
      </c>
      <c r="AC352" s="228">
        <f ca="1">IF(Table2[[#This Row],[Start Date]]&gt;TODAY(),1,)</f>
        <v>1</v>
      </c>
    </row>
    <row r="353" spans="1:29" s="234" customFormat="1" ht="15.75" customHeight="1">
      <c r="A353" s="215"/>
      <c r="B353" s="250" t="s">
        <v>24</v>
      </c>
      <c r="C353" s="225" t="str">
        <f>VLOOKUP(Table2[[#This Row],[Course Title]],Data!$A$1:$E$56,2,FALSE)</f>
        <v>A-493-0083</v>
      </c>
      <c r="D353" s="225" t="str">
        <f>VLOOKUP(Table2[[#This Row],[Course Title]],Data!$A$1:$E$56,3,FALSE)</f>
        <v>339E</v>
      </c>
      <c r="E353" s="252" t="s">
        <v>166</v>
      </c>
      <c r="F353" s="243">
        <v>45506</v>
      </c>
      <c r="G353" s="243">
        <v>45506</v>
      </c>
      <c r="H353" s="244">
        <v>0.33333333333333331</v>
      </c>
      <c r="I353" s="244"/>
      <c r="J353" s="226"/>
      <c r="K353" s="226"/>
      <c r="L353" s="226"/>
      <c r="M353" s="226"/>
      <c r="N353" s="226"/>
      <c r="O353" s="218" t="e">
        <v>#REF!</v>
      </c>
      <c r="P353" s="213" t="e">
        <v>#REF!</v>
      </c>
      <c r="Q353" s="218"/>
      <c r="R353" s="215"/>
      <c r="S353" s="215"/>
      <c r="T353" s="228">
        <f>VLOOKUP(Table2[[#This Row],[Course Title]],Data!$A$1:$E$56,4,FALSE)</f>
        <v>30</v>
      </c>
      <c r="U353" s="228">
        <f>VLOOKUP(Table2[[#This Row],[Course Title]],Data!$A$1:$E$56,5,FALSE)</f>
        <v>1</v>
      </c>
      <c r="V353" s="228"/>
      <c r="W353" s="218"/>
      <c r="X353" s="228"/>
      <c r="Y353" s="228"/>
      <c r="Z353" s="228"/>
      <c r="AA353" s="229">
        <f ca="1">Table2[[#This Row],[End Date]]+2-TODAY()</f>
        <v>109</v>
      </c>
      <c r="AB353" s="228">
        <f>IF(ISBLANK(#REF!),1,0)</f>
        <v>0</v>
      </c>
      <c r="AC353" s="228">
        <f ca="1">IF(Table2[[#This Row],[Start Date]]&gt;TODAY(),1,)</f>
        <v>1</v>
      </c>
    </row>
    <row r="354" spans="1:29" s="234" customFormat="1" ht="15.75" customHeight="1">
      <c r="A354" s="215"/>
      <c r="B354" s="250" t="s">
        <v>24</v>
      </c>
      <c r="C354" s="225" t="str">
        <f>VLOOKUP(Table2[[#This Row],[Course Title]],Data!$A$1:$E$56,2,FALSE)</f>
        <v>A-493-0083</v>
      </c>
      <c r="D354" s="225" t="str">
        <f>VLOOKUP(Table2[[#This Row],[Course Title]],Data!$A$1:$E$56,3,FALSE)</f>
        <v>339E</v>
      </c>
      <c r="E354" s="263" t="s">
        <v>116</v>
      </c>
      <c r="F354" s="264">
        <v>45509</v>
      </c>
      <c r="G354" s="264">
        <v>45509</v>
      </c>
      <c r="H354" s="265"/>
      <c r="I354" s="244">
        <v>8.3333333333333329E-2</v>
      </c>
      <c r="J354" s="244">
        <v>0.95833333333333337</v>
      </c>
      <c r="K354" s="244">
        <v>0.375</v>
      </c>
      <c r="L354" s="244">
        <v>0.33333333333333331</v>
      </c>
      <c r="M354" s="244">
        <v>0.83333333333333337</v>
      </c>
      <c r="N354" s="244">
        <v>0.625</v>
      </c>
      <c r="O354" s="218" t="e">
        <v>#REF!</v>
      </c>
      <c r="P354" s="213" t="e">
        <v>#REF!</v>
      </c>
      <c r="Q354" s="218"/>
      <c r="R354" s="215"/>
      <c r="S354" s="215"/>
      <c r="T354" s="228">
        <f>VLOOKUP(Table2[[#This Row],[Course Title]],Data!$A$1:$E$56,4,FALSE)</f>
        <v>30</v>
      </c>
      <c r="U354" s="228">
        <f>VLOOKUP(Table2[[#This Row],[Course Title]],Data!$A$1:$E$56,5,FALSE)</f>
        <v>1</v>
      </c>
      <c r="V354" s="228"/>
      <c r="W354" s="218"/>
      <c r="X354" s="228"/>
      <c r="Y354" s="228"/>
      <c r="Z354" s="225"/>
      <c r="AA354" s="241">
        <f ca="1">Table2[[#This Row],[End Date]]+2-TODAY()</f>
        <v>112</v>
      </c>
      <c r="AB354" s="228">
        <f>IF(ISBLANK(#REF!),1,0)</f>
        <v>0</v>
      </c>
      <c r="AC354" s="225">
        <f ca="1">IF(Table2[[#This Row],[Start Date]]&gt;TODAY(),1,)</f>
        <v>1</v>
      </c>
    </row>
    <row r="355" spans="1:29" s="199" customFormat="1">
      <c r="A355" s="215"/>
      <c r="B355" s="256" t="s">
        <v>215</v>
      </c>
      <c r="C355" s="225" t="str">
        <f>VLOOKUP(Table2[[#This Row],[Course Title]],Data!$A$1:$E$56,2,FALSE)</f>
        <v>A-493-0665</v>
      </c>
      <c r="D355" s="225" t="str">
        <f>VLOOKUP(Table2[[#This Row],[Course Title]],Data!$A$1:$E$56,3,FALSE)</f>
        <v>10KW</v>
      </c>
      <c r="E355" s="250" t="s">
        <v>116</v>
      </c>
      <c r="F355" s="245">
        <v>45509</v>
      </c>
      <c r="G355" s="245">
        <v>45513</v>
      </c>
      <c r="H355" s="226"/>
      <c r="I355" s="244">
        <v>0.54166666666666663</v>
      </c>
      <c r="J355" s="244">
        <v>0.95833333333333337</v>
      </c>
      <c r="K355" s="244">
        <v>0.875</v>
      </c>
      <c r="L355" s="244">
        <v>0.33333333333333331</v>
      </c>
      <c r="M355" s="244">
        <v>0.83333333333333337</v>
      </c>
      <c r="N355" s="244">
        <v>0.625</v>
      </c>
      <c r="O355" s="218" t="e">
        <v>#REF!</v>
      </c>
      <c r="P355" s="213" t="e">
        <v>#REF!</v>
      </c>
      <c r="Q355" s="218"/>
      <c r="R355" s="215"/>
      <c r="S355" s="215"/>
      <c r="T355" s="228">
        <f>VLOOKUP(Table2[[#This Row],[Course Title]],Data!$A$1:$E$56,4,FALSE)</f>
        <v>45</v>
      </c>
      <c r="U355" s="228">
        <f>VLOOKUP(Table2[[#This Row],[Course Title]],Data!$A$1:$E$56,5,FALSE)</f>
        <v>5</v>
      </c>
      <c r="V355" s="228"/>
      <c r="W355" s="218"/>
      <c r="X355" s="228"/>
      <c r="Y355" s="228"/>
      <c r="Z355" s="228"/>
      <c r="AA355" s="229">
        <f ca="1">Table2[[#This Row],[End Date]]+2-TODAY()</f>
        <v>116</v>
      </c>
      <c r="AB355" s="228">
        <f>IF(ISBLANK(#REF!),1,0)</f>
        <v>0</v>
      </c>
      <c r="AC355" s="228">
        <f ca="1">IF(Table2[[#This Row],[Start Date]]&gt;TODAY(),1,)</f>
        <v>1</v>
      </c>
    </row>
    <row r="356" spans="1:29" s="215" customFormat="1">
      <c r="B356" s="256" t="s">
        <v>248</v>
      </c>
      <c r="C356" s="225" t="str">
        <f>VLOOKUP(Table2[[#This Row],[Course Title]],Data!$A$1:$E$56,2,FALSE)</f>
        <v>A-322-2604</v>
      </c>
      <c r="D356" s="225" t="str">
        <f>VLOOKUP(Table2[[#This Row],[Course Title]],Data!$A$1:$E$56,3,FALSE)</f>
        <v>10ZZ</v>
      </c>
      <c r="E356" s="250" t="s">
        <v>116</v>
      </c>
      <c r="F356" s="245">
        <v>45509</v>
      </c>
      <c r="G356" s="245">
        <v>45513</v>
      </c>
      <c r="H356" s="226"/>
      <c r="I356" s="244">
        <v>0.79166666666666663</v>
      </c>
      <c r="J356" s="244">
        <v>0.66666666666666663</v>
      </c>
      <c r="K356" s="244">
        <v>8.3333333333333329E-2</v>
      </c>
      <c r="L356" s="244">
        <v>0</v>
      </c>
      <c r="M356" s="244">
        <v>0.54166666666666663</v>
      </c>
      <c r="N356" s="244">
        <v>0.33333333333333331</v>
      </c>
      <c r="O356" s="218" t="e">
        <v>#REF!</v>
      </c>
      <c r="P356" s="213" t="e">
        <v>#REF!</v>
      </c>
      <c r="Q356" s="218"/>
      <c r="T356" s="228">
        <f>VLOOKUP(Table2[[#This Row],[Course Title]],Data!$A$1:$E$56,4,FALSE)</f>
        <v>45</v>
      </c>
      <c r="U356" s="228">
        <f>VLOOKUP(Table2[[#This Row],[Course Title]],Data!$A$1:$E$56,5,FALSE)</f>
        <v>5</v>
      </c>
      <c r="V356" s="228"/>
      <c r="W356" s="218"/>
      <c r="X356" s="228"/>
      <c r="Y356" s="228"/>
      <c r="Z356" s="228"/>
      <c r="AA356" s="229">
        <f ca="1">Table2[[#This Row],[End Date]]+2-TODAY()</f>
        <v>116</v>
      </c>
      <c r="AB356" s="228">
        <f>IF(ISBLANK(#REF!),1,0)</f>
        <v>0</v>
      </c>
      <c r="AC356" s="228">
        <f ca="1">IF(Table2[[#This Row],[Start Date]]&gt;TODAY(),1,)</f>
        <v>1</v>
      </c>
    </row>
    <row r="357" spans="1:29" s="215" customFormat="1">
      <c r="B357" s="250" t="s">
        <v>23</v>
      </c>
      <c r="C357" s="225" t="str">
        <f>VLOOKUP(Table2[[#This Row],[Course Title]],Data!$A$1:$E$56,2,FALSE)</f>
        <v>A-493-0077</v>
      </c>
      <c r="D357" s="225" t="str">
        <f>VLOOKUP(Table2[[#This Row],[Course Title]],Data!$A$1:$E$56,3,FALSE)</f>
        <v>0381</v>
      </c>
      <c r="E357" s="252" t="s">
        <v>156</v>
      </c>
      <c r="F357" s="243">
        <v>45509</v>
      </c>
      <c r="G357" s="243">
        <v>45511</v>
      </c>
      <c r="H357" s="244">
        <v>0.33333333333333331</v>
      </c>
      <c r="I357" s="244"/>
      <c r="J357" s="226"/>
      <c r="K357" s="226"/>
      <c r="L357" s="226"/>
      <c r="M357" s="226"/>
      <c r="N357" s="226"/>
      <c r="O357" s="218" t="e">
        <v>#REF!</v>
      </c>
      <c r="P357" s="213" t="e">
        <v>#REF!</v>
      </c>
      <c r="Q357" s="218"/>
      <c r="T357" s="228">
        <f>VLOOKUP(Table2[[#This Row],[Course Title]],Data!$A$1:$E$56,4,FALSE)</f>
        <v>25</v>
      </c>
      <c r="U357" s="228">
        <f>VLOOKUP(Table2[[#This Row],[Course Title]],Data!$A$1:$E$56,5,FALSE)</f>
        <v>3</v>
      </c>
      <c r="V357" s="228"/>
      <c r="W357" s="218"/>
      <c r="X357" s="228"/>
      <c r="Y357" s="228"/>
      <c r="Z357" s="225"/>
      <c r="AA357" s="241">
        <f ca="1">Table2[[#This Row],[End Date]]+2-TODAY()</f>
        <v>114</v>
      </c>
      <c r="AB357" s="228">
        <f>IF(ISBLANK(#REF!),1,0)</f>
        <v>0</v>
      </c>
      <c r="AC357" s="225">
        <f ca="1">IF(Table2[[#This Row],[Start Date]]&gt;TODAY(),1,)</f>
        <v>1</v>
      </c>
    </row>
    <row r="358" spans="1:29" s="215" customFormat="1">
      <c r="B358" s="250" t="s">
        <v>34</v>
      </c>
      <c r="C358" s="225" t="str">
        <f>VLOOKUP(Table2[[#This Row],[Course Title]],Data!$A$1:$E$56,2,FALSE)</f>
        <v>A-493-0085</v>
      </c>
      <c r="D358" s="225">
        <f>VLOOKUP(Table2[[#This Row],[Course Title]],Data!$A$1:$E$56,3,FALSE)</f>
        <v>3555</v>
      </c>
      <c r="E358" s="250" t="s">
        <v>116</v>
      </c>
      <c r="F358" s="245">
        <v>45509</v>
      </c>
      <c r="G358" s="245">
        <v>45512</v>
      </c>
      <c r="H358" s="226"/>
      <c r="I358" s="244">
        <v>0.5</v>
      </c>
      <c r="J358" s="244">
        <v>0.375</v>
      </c>
      <c r="K358" s="244">
        <v>0.79166666666666663</v>
      </c>
      <c r="L358" s="244">
        <v>0.70833333333333337</v>
      </c>
      <c r="M358" s="244">
        <v>0.25</v>
      </c>
      <c r="N358" s="244">
        <v>4.1666666666666664E-2</v>
      </c>
      <c r="O358" s="213" t="e">
        <v>#REF!</v>
      </c>
      <c r="P358" s="213" t="e">
        <v>#REF!</v>
      </c>
      <c r="Q358" s="214"/>
      <c r="T358" s="228">
        <f>VLOOKUP(Table2[[#This Row],[Course Title]],Data!$A$1:$E$56,4,FALSE)</f>
        <v>30</v>
      </c>
      <c r="U358" s="228">
        <f>VLOOKUP(Table2[[#This Row],[Course Title]],Data!$A$1:$E$56,5,FALSE)</f>
        <v>4</v>
      </c>
      <c r="V358" s="228"/>
      <c r="W358" s="218"/>
      <c r="X358" s="228"/>
      <c r="Y358" s="228"/>
      <c r="Z358" s="225"/>
      <c r="AA358" s="241">
        <f ca="1">Table2[[#This Row],[End Date]]+2-TODAY()</f>
        <v>115</v>
      </c>
      <c r="AB358" s="228">
        <f>IF(ISBLANK(#REF!),1,0)</f>
        <v>0</v>
      </c>
      <c r="AC358" s="225">
        <f ca="1">IF(Table2[[#This Row],[Start Date]]&gt;TODAY(),1,)</f>
        <v>1</v>
      </c>
    </row>
    <row r="359" spans="1:29" s="215" customFormat="1">
      <c r="B359" s="250" t="s">
        <v>312</v>
      </c>
      <c r="C359" s="225" t="str">
        <f>VLOOKUP(Table2[[#This Row],[Course Title]],Data!$A$1:$E$56,2,FALSE)</f>
        <v>A-493-2098</v>
      </c>
      <c r="D359" s="225" t="str">
        <f>VLOOKUP(Table2[[#This Row],[Course Title]],Data!$A$1:$E$56,3,FALSE)</f>
        <v>09WW</v>
      </c>
      <c r="E359" s="250" t="s">
        <v>116</v>
      </c>
      <c r="F359" s="245">
        <v>45509</v>
      </c>
      <c r="G359" s="245">
        <v>45513</v>
      </c>
      <c r="H359" s="226"/>
      <c r="I359" s="244">
        <v>0.54166666666666663</v>
      </c>
      <c r="J359" s="244">
        <v>0.41666666666666669</v>
      </c>
      <c r="K359" s="244">
        <v>0.83333333333333337</v>
      </c>
      <c r="L359" s="244">
        <v>0.75</v>
      </c>
      <c r="M359" s="244">
        <v>0.29166666666666669</v>
      </c>
      <c r="N359" s="244">
        <v>8.3333333333333329E-2</v>
      </c>
      <c r="O359" s="218" t="e">
        <v>#REF!</v>
      </c>
      <c r="P359" s="213" t="e">
        <v>#REF!</v>
      </c>
      <c r="Q359" s="218"/>
      <c r="T359" s="228">
        <f>VLOOKUP(Table2[[#This Row],[Course Title]],Data!$A$1:$E$56,4,FALSE)</f>
        <v>100</v>
      </c>
      <c r="U359" s="228">
        <f>VLOOKUP(Table2[[#This Row],[Course Title]],Data!$A$1:$E$56,5,FALSE)</f>
        <v>5</v>
      </c>
      <c r="V359" s="228"/>
      <c r="W359" s="218"/>
      <c r="X359" s="228"/>
      <c r="Y359" s="228"/>
      <c r="Z359" s="225"/>
      <c r="AA359" s="241">
        <f ca="1">Table2[[#This Row],[End Date]]+2-TODAY()</f>
        <v>116</v>
      </c>
      <c r="AB359" s="228">
        <f>IF(ISBLANK(#REF!),1,0)</f>
        <v>0</v>
      </c>
      <c r="AC359" s="225">
        <f ca="1">IF(Table2[[#This Row],[Start Date]]&gt;TODAY(),1,)</f>
        <v>1</v>
      </c>
    </row>
    <row r="360" spans="1:29" s="215" customFormat="1">
      <c r="B360" s="250" t="s">
        <v>18</v>
      </c>
      <c r="C360" s="225" t="str">
        <f>VLOOKUP(Table2[[#This Row],[Course Title]],Data!$A$1:$E$56,2,FALSE)</f>
        <v>A-493-0013</v>
      </c>
      <c r="D360" s="225">
        <f>VLOOKUP(Table2[[#This Row],[Course Title]],Data!$A$1:$E$56,3,FALSE)</f>
        <v>3683</v>
      </c>
      <c r="E360" s="250" t="s">
        <v>122</v>
      </c>
      <c r="F360" s="245">
        <v>45510</v>
      </c>
      <c r="G360" s="245">
        <v>45512</v>
      </c>
      <c r="H360" s="227">
        <v>0.33333333333333331</v>
      </c>
      <c r="I360" s="227"/>
      <c r="J360" s="227"/>
      <c r="K360" s="227"/>
      <c r="L360" s="227"/>
      <c r="M360" s="227"/>
      <c r="N360" s="226"/>
      <c r="O360" s="213" t="e">
        <v>#REF!</v>
      </c>
      <c r="P360" s="213" t="e">
        <v>#REF!</v>
      </c>
      <c r="Q360" s="214"/>
      <c r="T360" s="228">
        <f>VLOOKUP(Table2[[#This Row],[Course Title]],Data!$A$1:$E$56,4,FALSE)</f>
        <v>40</v>
      </c>
      <c r="U360" s="228">
        <v>3</v>
      </c>
      <c r="V360" s="228"/>
      <c r="W360" s="218"/>
      <c r="X360" s="228"/>
      <c r="Y360" s="228"/>
      <c r="Z360" s="225"/>
      <c r="AA360" s="241">
        <f ca="1">Table2[[#This Row],[End Date]]+2-TODAY()</f>
        <v>115</v>
      </c>
      <c r="AB360" s="228">
        <f>IF(ISBLANK(#REF!),1,0)</f>
        <v>0</v>
      </c>
      <c r="AC360" s="225">
        <f ca="1">IF(Table2[[#This Row],[Start Date]]&gt;TODAY(),1,)</f>
        <v>1</v>
      </c>
    </row>
    <row r="361" spans="1:29" s="215" customFormat="1">
      <c r="A361" s="224"/>
      <c r="B361" s="256" t="s">
        <v>28</v>
      </c>
      <c r="C361" s="225" t="str">
        <f>VLOOKUP(Table2[[#This Row],[Course Title]],Data!$A$1:$E$56,2,FALSE)</f>
        <v>A-493-0092</v>
      </c>
      <c r="D361" s="225">
        <f>VLOOKUP(Table2[[#This Row],[Course Title]],Data!$A$1:$E$56,3,FALSE)</f>
        <v>5891</v>
      </c>
      <c r="E361" s="250" t="s">
        <v>109</v>
      </c>
      <c r="F361" s="245">
        <v>45511</v>
      </c>
      <c r="G361" s="245">
        <v>45513</v>
      </c>
      <c r="H361" s="227">
        <v>0.33333333333333331</v>
      </c>
      <c r="I361" s="227"/>
      <c r="J361" s="226"/>
      <c r="K361" s="226"/>
      <c r="L361" s="226"/>
      <c r="M361" s="226"/>
      <c r="N361" s="226"/>
      <c r="O361" s="213" t="e">
        <v>#REF!</v>
      </c>
      <c r="P361" s="213" t="e">
        <v>#REF!</v>
      </c>
      <c r="Q361" s="214"/>
      <c r="T361" s="228">
        <f>VLOOKUP(Table2[[#This Row],[Course Title]],Data!$A$1:$E$56,4,FALSE)</f>
        <v>25</v>
      </c>
      <c r="U361" s="228">
        <f>VLOOKUP(Table2[[#This Row],[Course Title]],Data!$A$1:$E$56,5,FALSE)</f>
        <v>3</v>
      </c>
      <c r="V361" s="228"/>
      <c r="W361" s="218"/>
      <c r="X361" s="228"/>
      <c r="Y361" s="228"/>
      <c r="Z361" s="225"/>
      <c r="AA361" s="241">
        <f ca="1">Table2[[#This Row],[End Date]]+2-TODAY()</f>
        <v>116</v>
      </c>
      <c r="AB361" s="228">
        <f>IF(ISBLANK(#REF!),1,0)</f>
        <v>0</v>
      </c>
      <c r="AC361" s="225">
        <f ca="1">IF(Table2[[#This Row],[Start Date]]&gt;TODAY(),1,)</f>
        <v>1</v>
      </c>
    </row>
    <row r="362" spans="1:29" s="215" customFormat="1">
      <c r="B362" s="250" t="s">
        <v>24</v>
      </c>
      <c r="C362" s="225" t="str">
        <f>VLOOKUP(Table2[[#This Row],[Course Title]],Data!$A$1:$E$56,2,FALSE)</f>
        <v>A-493-0083</v>
      </c>
      <c r="D362" s="225" t="str">
        <f>VLOOKUP(Table2[[#This Row],[Course Title]],Data!$A$1:$E$56,3,FALSE)</f>
        <v>339E</v>
      </c>
      <c r="E362" s="250" t="s">
        <v>156</v>
      </c>
      <c r="F362" s="245">
        <v>45512</v>
      </c>
      <c r="G362" s="245">
        <v>45512</v>
      </c>
      <c r="H362" s="227"/>
      <c r="I362" s="227"/>
      <c r="J362" s="226"/>
      <c r="K362" s="226"/>
      <c r="L362" s="226"/>
      <c r="M362" s="226"/>
      <c r="N362" s="226"/>
      <c r="O362" s="218"/>
      <c r="P362" s="213"/>
      <c r="Q362" s="218"/>
      <c r="T362" s="218">
        <v>30</v>
      </c>
      <c r="U362" s="213">
        <v>1</v>
      </c>
      <c r="V362" s="218"/>
      <c r="W362" s="218"/>
      <c r="X362" s="228"/>
      <c r="Y362" s="228"/>
      <c r="Z362" s="225"/>
      <c r="AA362" s="241">
        <f ca="1">Table2[[#This Row],[End Date]]+2-TODAY()</f>
        <v>115</v>
      </c>
      <c r="AB362" s="228">
        <f>IF(ISBLANK(#REF!),1,0)</f>
        <v>0</v>
      </c>
      <c r="AC362" s="225">
        <f ca="1">IF(Table2[[#This Row],[Start Date]]&gt;TODAY(),1,)</f>
        <v>1</v>
      </c>
    </row>
    <row r="363" spans="1:29" s="215" customFormat="1">
      <c r="B363" s="250" t="s">
        <v>17</v>
      </c>
      <c r="C363" s="225" t="str">
        <f>VLOOKUP(Table2[[#This Row],[Course Title]],Data!$A$1:$E$56,2,FALSE)</f>
        <v>A-493-0012</v>
      </c>
      <c r="D363" s="225">
        <f>VLOOKUP(Table2[[#This Row],[Course Title]],Data!$A$1:$E$56,3,FALSE)</f>
        <v>3682</v>
      </c>
      <c r="E363" s="250" t="s">
        <v>137</v>
      </c>
      <c r="F363" s="245">
        <v>45516</v>
      </c>
      <c r="G363" s="245">
        <v>45520</v>
      </c>
      <c r="H363" s="227">
        <v>0.33333333333333331</v>
      </c>
      <c r="I363" s="266"/>
      <c r="J363" s="266"/>
      <c r="K363" s="266"/>
      <c r="L363" s="266"/>
      <c r="M363" s="266"/>
      <c r="N363" s="266"/>
      <c r="T363" s="228">
        <v>40</v>
      </c>
      <c r="U363" s="228">
        <v>5</v>
      </c>
      <c r="V363" s="218"/>
      <c r="W363" s="267"/>
      <c r="X363" s="267"/>
      <c r="Y363" s="267"/>
      <c r="Z363" s="267"/>
      <c r="AA363" s="267"/>
    </row>
    <row r="364" spans="1:29" s="215" customFormat="1">
      <c r="B364" s="256" t="s">
        <v>236</v>
      </c>
      <c r="C364" s="225" t="str">
        <f>VLOOKUP(Table2[[#This Row],[Course Title]],Data!$A$1:$E$56,2,FALSE)</f>
        <v>A-493-0103</v>
      </c>
      <c r="D364" s="225" t="str">
        <f>VLOOKUP(Table2[[#This Row],[Course Title]],Data!$A$1:$E$56,3,FALSE)</f>
        <v>12JY</v>
      </c>
      <c r="E364" s="252" t="s">
        <v>140</v>
      </c>
      <c r="F364" s="226">
        <v>45516</v>
      </c>
      <c r="G364" s="226">
        <v>45520</v>
      </c>
      <c r="H364" s="227">
        <v>0.33333333333333331</v>
      </c>
      <c r="I364" s="227"/>
      <c r="J364" s="226"/>
      <c r="K364" s="226"/>
      <c r="L364" s="226"/>
      <c r="M364" s="226"/>
      <c r="N364" s="226"/>
      <c r="O364" s="213" t="e">
        <v>#REF!</v>
      </c>
      <c r="P364" s="213" t="e">
        <v>#REF!</v>
      </c>
      <c r="Q364" s="233"/>
      <c r="S364" s="224"/>
      <c r="T364" s="228">
        <f>VLOOKUP(Table2[[#This Row],[Course Title]],Data!$A$1:$E$56,4,FALSE)</f>
        <v>25</v>
      </c>
      <c r="U364" s="228">
        <f>VLOOKUP(Table2[[#This Row],[Course Title]],Data!$A$1:$E$56,5,FALSE)</f>
        <v>5</v>
      </c>
      <c r="V364" s="228"/>
      <c r="W364" s="218"/>
      <c r="X364" s="228"/>
      <c r="Y364" s="228"/>
      <c r="Z364" s="225"/>
      <c r="AA364" s="241">
        <f ca="1">Table2[[#This Row],[End Date]]+2-TODAY()</f>
        <v>123</v>
      </c>
      <c r="AB364" s="228">
        <f>IF(ISBLANK(#REF!),1,0)</f>
        <v>0</v>
      </c>
      <c r="AC364" s="225">
        <f ca="1">IF(Table2[[#This Row],[Start Date]]&gt;TODAY(),1,)</f>
        <v>1</v>
      </c>
    </row>
    <row r="365" spans="1:29" s="215" customFormat="1">
      <c r="A365" s="224"/>
      <c r="B365" s="256" t="s">
        <v>236</v>
      </c>
      <c r="C365" s="225" t="str">
        <f>VLOOKUP(Table2[[#This Row],[Course Title]],Data!$A$1:$E$56,2,FALSE)</f>
        <v>A-493-0103</v>
      </c>
      <c r="D365" s="225" t="str">
        <f>VLOOKUP(Table2[[#This Row],[Course Title]],Data!$A$1:$E$56,3,FALSE)</f>
        <v>12JY</v>
      </c>
      <c r="E365" s="250" t="s">
        <v>338</v>
      </c>
      <c r="F365" s="226">
        <v>45516</v>
      </c>
      <c r="G365" s="226">
        <v>45520</v>
      </c>
      <c r="H365" s="227">
        <v>0.33333333333333331</v>
      </c>
      <c r="I365" s="227"/>
      <c r="J365" s="226"/>
      <c r="K365" s="226"/>
      <c r="L365" s="226"/>
      <c r="M365" s="226"/>
      <c r="N365" s="226"/>
      <c r="O365" s="213" t="e">
        <v>#REF!</v>
      </c>
      <c r="P365" s="213" t="e">
        <v>#REF!</v>
      </c>
      <c r="Q365" s="213"/>
      <c r="T365" s="228">
        <f>VLOOKUP(Table2[[#This Row],[Course Title]],Data!$A$1:$E$56,4,FALSE)</f>
        <v>25</v>
      </c>
      <c r="U365" s="228">
        <f>VLOOKUP(Table2[[#This Row],[Course Title]],Data!$A$1:$E$56,5,FALSE)</f>
        <v>5</v>
      </c>
      <c r="V365" s="228"/>
      <c r="W365" s="218"/>
      <c r="X365" s="228"/>
      <c r="Y365" s="228"/>
      <c r="Z365" s="225"/>
      <c r="AA365" s="241">
        <f ca="1">Table2[[#This Row],[End Date]]+2-TODAY()</f>
        <v>123</v>
      </c>
      <c r="AB365" s="228">
        <f>IF(ISBLANK(#REF!),1,0)</f>
        <v>0</v>
      </c>
      <c r="AC365" s="225">
        <f ca="1">IF(Table2[[#This Row],[Start Date]]&gt;TODAY(),1,)</f>
        <v>1</v>
      </c>
    </row>
    <row r="366" spans="1:29" s="215" customFormat="1">
      <c r="B366" s="268" t="s">
        <v>14</v>
      </c>
      <c r="C366" s="225" t="str">
        <f>VLOOKUP(Table2[[#This Row],[Course Title]],Data!$A$1:$E$56,2,FALSE)</f>
        <v>A-493-0030</v>
      </c>
      <c r="D366" s="225" t="str">
        <f>VLOOKUP(Table2[[#This Row],[Course Title]],Data!$A$1:$E$56,3,FALSE)</f>
        <v>286X</v>
      </c>
      <c r="E366" s="250" t="s">
        <v>116</v>
      </c>
      <c r="F366" s="226">
        <v>45516</v>
      </c>
      <c r="G366" s="226">
        <v>45520</v>
      </c>
      <c r="H366" s="226"/>
      <c r="I366" s="244">
        <v>0.33333333333333331</v>
      </c>
      <c r="J366" s="244">
        <v>0.20833333333333334</v>
      </c>
      <c r="K366" s="244">
        <v>0.625</v>
      </c>
      <c r="L366" s="244">
        <v>0.54166666666666663</v>
      </c>
      <c r="M366" s="244">
        <v>8.3333333333333329E-2</v>
      </c>
      <c r="N366" s="244">
        <v>0.875</v>
      </c>
      <c r="O366" s="213" t="e">
        <v>#REF!</v>
      </c>
      <c r="P366" s="213" t="e">
        <v>#REF!</v>
      </c>
      <c r="Q366" s="214"/>
      <c r="T366" s="228">
        <f>VLOOKUP(Table2[[#This Row],[Course Title]],Data!$A$1:$E$56,4,FALSE)</f>
        <v>25</v>
      </c>
      <c r="U366" s="228">
        <f>VLOOKUP(Table2[[#This Row],[Course Title]],Data!$A$1:$E$56,5,FALSE)</f>
        <v>5</v>
      </c>
      <c r="V366" s="228"/>
      <c r="W366" s="218"/>
      <c r="X366" s="228"/>
      <c r="Y366" s="228"/>
      <c r="Z366" s="225"/>
      <c r="AA366" s="241">
        <f ca="1">Table2[[#This Row],[End Date]]+2-TODAY()</f>
        <v>123</v>
      </c>
      <c r="AB366" s="228">
        <f>IF(ISBLANK(#REF!),1,0)</f>
        <v>0</v>
      </c>
      <c r="AC366" s="225">
        <f ca="1">IF(Table2[[#This Row],[Start Date]]&gt;TODAY(),1,)</f>
        <v>1</v>
      </c>
    </row>
    <row r="367" spans="1:29" s="215" customFormat="1">
      <c r="B367" s="250" t="s">
        <v>15</v>
      </c>
      <c r="C367" s="225" t="str">
        <f>VLOOKUP(Table2[[#This Row],[Course Title]],Data!$A$1:$E$56,2,FALSE)</f>
        <v>A-493-0021</v>
      </c>
      <c r="D367" s="225" t="str">
        <f>VLOOKUP(Table2[[#This Row],[Course Title]],Data!$A$1:$E$56,3,FALSE)</f>
        <v>18BN</v>
      </c>
      <c r="E367" s="224" t="s">
        <v>109</v>
      </c>
      <c r="F367" s="226">
        <v>45516</v>
      </c>
      <c r="G367" s="226">
        <v>45520</v>
      </c>
      <c r="H367" s="227">
        <v>0.33333333333333331</v>
      </c>
      <c r="I367" s="227"/>
      <c r="J367" s="226"/>
      <c r="K367" s="226"/>
      <c r="L367" s="226"/>
      <c r="M367" s="226"/>
      <c r="N367" s="226"/>
      <c r="O367" s="213" t="e">
        <v>#REF!</v>
      </c>
      <c r="P367" s="213" t="e">
        <v>#REF!</v>
      </c>
      <c r="Q367" s="214"/>
      <c r="T367" s="228">
        <f>VLOOKUP(Table2[[#This Row],[Course Title]],Data!$A$1:$E$56,4,FALSE)</f>
        <v>35</v>
      </c>
      <c r="U367" s="228">
        <f>VLOOKUP(Table2[[#This Row],[Course Title]],Data!$A$1:$E$56,5,FALSE)</f>
        <v>5</v>
      </c>
      <c r="V367" s="228"/>
      <c r="W367" s="218"/>
      <c r="X367" s="228"/>
      <c r="Y367" s="228"/>
      <c r="Z367" s="225"/>
      <c r="AA367" s="241">
        <f ca="1">Table2[[#This Row],[End Date]]+2-TODAY()</f>
        <v>123</v>
      </c>
      <c r="AB367" s="228">
        <f>IF(ISBLANK(#REF!),1,0)</f>
        <v>0</v>
      </c>
      <c r="AC367" s="225">
        <f ca="1">IF(Table2[[#This Row],[Start Date]]&gt;TODAY(),1,)</f>
        <v>1</v>
      </c>
    </row>
    <row r="368" spans="1:29" s="215" customFormat="1">
      <c r="A368" s="232"/>
      <c r="B368" s="250" t="s">
        <v>242</v>
      </c>
      <c r="C368" s="225" t="str">
        <f>VLOOKUP(Table2[[#This Row],[Course Title]],Data!$A$1:$E$56,2,FALSE)</f>
        <v>A-493-0061</v>
      </c>
      <c r="D368" s="225" t="str">
        <f>VLOOKUP(Table2[[#This Row],[Course Title]],Data!$A$1:$E$56,3,FALSE)</f>
        <v>288E</v>
      </c>
      <c r="E368" s="250" t="s">
        <v>116</v>
      </c>
      <c r="F368" s="226">
        <v>45516</v>
      </c>
      <c r="G368" s="226">
        <v>45520</v>
      </c>
      <c r="H368" s="226"/>
      <c r="I368" s="244">
        <v>0.41666666666666669</v>
      </c>
      <c r="J368" s="244">
        <v>0.29166666666666669</v>
      </c>
      <c r="K368" s="244">
        <v>0.70833333333333337</v>
      </c>
      <c r="L368" s="244">
        <v>0.625</v>
      </c>
      <c r="M368" s="244">
        <v>0.16666666666666666</v>
      </c>
      <c r="N368" s="244">
        <v>0.95833333333333337</v>
      </c>
      <c r="O368" s="213" t="e">
        <v>#REF!</v>
      </c>
      <c r="P368" s="213" t="e">
        <v>#REF!</v>
      </c>
      <c r="Q368" s="214"/>
      <c r="T368" s="228">
        <f>VLOOKUP(Table2[[#This Row],[Course Title]],Data!$A$1:$E$56,4,FALSE)</f>
        <v>45</v>
      </c>
      <c r="U368" s="228">
        <f>VLOOKUP(Table2[[#This Row],[Course Title]],Data!$A$1:$E$56,5,FALSE)</f>
        <v>5</v>
      </c>
      <c r="V368" s="228"/>
      <c r="W368" s="218"/>
      <c r="X368" s="228"/>
      <c r="Y368" s="228"/>
      <c r="Z368" s="225"/>
      <c r="AA368" s="241">
        <f ca="1">Table2[[#This Row],[End Date]]+2-TODAY()</f>
        <v>123</v>
      </c>
      <c r="AB368" s="228">
        <f>IF(ISBLANK(#REF!),1,0)</f>
        <v>0</v>
      </c>
      <c r="AC368" s="225">
        <f ca="1">IF(Table2[[#This Row],[Start Date]]&gt;TODAY(),1,)</f>
        <v>1</v>
      </c>
    </row>
    <row r="369" spans="1:29" s="215" customFormat="1">
      <c r="B369" s="250" t="s">
        <v>25</v>
      </c>
      <c r="C369" s="225" t="str">
        <f>VLOOKUP(Table2[[#This Row],[Course Title]],Data!$A$1:$E$56,2,FALSE)</f>
        <v>A-493-2300</v>
      </c>
      <c r="D369" s="225" t="str">
        <f>VLOOKUP(Table2[[#This Row],[Course Title]],Data!$A$1:$E$56,3,FALSE)</f>
        <v>993F</v>
      </c>
      <c r="E369" s="250" t="s">
        <v>104</v>
      </c>
      <c r="F369" s="226">
        <v>45516</v>
      </c>
      <c r="G369" s="226">
        <v>45517</v>
      </c>
      <c r="H369" s="227">
        <v>0.33333333333333331</v>
      </c>
      <c r="I369" s="227"/>
      <c r="J369" s="226"/>
      <c r="K369" s="226"/>
      <c r="L369" s="226"/>
      <c r="M369" s="226"/>
      <c r="N369" s="226"/>
      <c r="O369" s="218" t="e">
        <v>#REF!</v>
      </c>
      <c r="P369" s="213" t="e">
        <v>#REF!</v>
      </c>
      <c r="Q369" s="218"/>
      <c r="T369" s="228">
        <f>VLOOKUP(Table2[[#This Row],[Course Title]],Data!$A$1:$E$56,4,FALSE)</f>
        <v>30</v>
      </c>
      <c r="U369" s="228">
        <f>VLOOKUP(Table2[[#This Row],[Course Title]],Data!$A$1:$E$56,5,FALSE)</f>
        <v>2</v>
      </c>
      <c r="V369" s="228"/>
      <c r="W369" s="218"/>
      <c r="X369" s="228"/>
      <c r="Y369" s="228"/>
      <c r="Z369" s="225"/>
      <c r="AA369" s="241">
        <f ca="1">Table2[[#This Row],[End Date]]+2-TODAY()</f>
        <v>120</v>
      </c>
      <c r="AB369" s="228">
        <f>IF(ISBLANK(#REF!),1,0)</f>
        <v>0</v>
      </c>
      <c r="AC369" s="225">
        <f ca="1">IF(Table2[[#This Row],[Start Date]]&gt;TODAY(),1,)</f>
        <v>1</v>
      </c>
    </row>
    <row r="370" spans="1:29" s="215" customFormat="1">
      <c r="A370" s="224"/>
      <c r="B370" s="256" t="s">
        <v>28</v>
      </c>
      <c r="C370" s="225" t="str">
        <f>VLOOKUP(Table2[[#This Row],[Course Title]],Data!$A$1:$E$56,2,FALSE)</f>
        <v>A-493-0092</v>
      </c>
      <c r="D370" s="225">
        <f>VLOOKUP(Table2[[#This Row],[Course Title]],Data!$A$1:$E$56,3,FALSE)</f>
        <v>5891</v>
      </c>
      <c r="E370" s="250" t="s">
        <v>147</v>
      </c>
      <c r="F370" s="226">
        <v>45516</v>
      </c>
      <c r="G370" s="226">
        <v>45518</v>
      </c>
      <c r="H370" s="227">
        <v>0.33333333333333331</v>
      </c>
      <c r="I370" s="227"/>
      <c r="J370" s="226"/>
      <c r="K370" s="226"/>
      <c r="L370" s="226"/>
      <c r="M370" s="226"/>
      <c r="N370" s="226"/>
      <c r="O370" s="213" t="e">
        <v>#REF!</v>
      </c>
      <c r="P370" s="213" t="e">
        <v>#REF!</v>
      </c>
      <c r="Q370" s="214"/>
      <c r="T370" s="228">
        <f>VLOOKUP(Table2[[#This Row],[Course Title]],Data!$A$1:$E$56,4,FALSE)</f>
        <v>25</v>
      </c>
      <c r="U370" s="228">
        <f>VLOOKUP(Table2[[#This Row],[Course Title]],Data!$A$1:$E$56,5,FALSE)</f>
        <v>3</v>
      </c>
      <c r="V370" s="228"/>
      <c r="W370" s="218"/>
      <c r="X370" s="228"/>
      <c r="Y370" s="228"/>
      <c r="Z370" s="225"/>
      <c r="AA370" s="241">
        <f ca="1">Table2[[#This Row],[End Date]]+2-TODAY()</f>
        <v>121</v>
      </c>
      <c r="AB370" s="228">
        <f>IF(ISBLANK(#REF!),1,0)</f>
        <v>0</v>
      </c>
      <c r="AC370" s="225">
        <f ca="1">IF(Table2[[#This Row],[Start Date]]&gt;TODAY(),1,)</f>
        <v>1</v>
      </c>
    </row>
    <row r="371" spans="1:29" s="215" customFormat="1">
      <c r="B371" s="250" t="s">
        <v>276</v>
      </c>
      <c r="C371" s="225" t="str">
        <f>VLOOKUP(Table2[[#This Row],[Course Title]],Data!$A$1:$E$56,2,FALSE)</f>
        <v>A-493-0550</v>
      </c>
      <c r="D371" s="225" t="str">
        <f>VLOOKUP(Table2[[#This Row],[Course Title]],Data!$A$1:$E$56,3,FALSE)</f>
        <v>09K5</v>
      </c>
      <c r="E371" s="250" t="s">
        <v>116</v>
      </c>
      <c r="F371" s="226">
        <v>45516</v>
      </c>
      <c r="G371" s="226">
        <v>45520</v>
      </c>
      <c r="H371" s="226"/>
      <c r="I371" s="244">
        <v>0.54166666666666663</v>
      </c>
      <c r="J371" s="244">
        <v>0.41666666666666669</v>
      </c>
      <c r="K371" s="244">
        <v>0.83333333333333337</v>
      </c>
      <c r="L371" s="244">
        <v>0.75</v>
      </c>
      <c r="M371" s="244">
        <v>0.29166666666666669</v>
      </c>
      <c r="N371" s="244">
        <v>8.3333333333333329E-2</v>
      </c>
      <c r="O371" s="213" t="e">
        <v>#REF!</v>
      </c>
      <c r="P371" s="213" t="e">
        <v>#REF!</v>
      </c>
      <c r="Q371" s="214"/>
      <c r="T371" s="228">
        <f>VLOOKUP(Table2[[#This Row],[Course Title]],Data!$A$1:$E$56,4,FALSE)</f>
        <v>45</v>
      </c>
      <c r="U371" s="228">
        <f>VLOOKUP(Table2[[#This Row],[Course Title]],Data!$A$1:$E$56,5,FALSE)</f>
        <v>4</v>
      </c>
      <c r="V371" s="228"/>
      <c r="W371" s="218"/>
      <c r="X371" s="228"/>
      <c r="Y371" s="228"/>
      <c r="Z371" s="225"/>
      <c r="AA371" s="241">
        <f ca="1">Table2[[#This Row],[End Date]]+2-TODAY()</f>
        <v>123</v>
      </c>
      <c r="AB371" s="228">
        <f>IF(ISBLANK(#REF!),1,0)</f>
        <v>0</v>
      </c>
      <c r="AC371" s="225">
        <f ca="1">IF(Table2[[#This Row],[Start Date]]&gt;TODAY(),1,)</f>
        <v>1</v>
      </c>
    </row>
    <row r="372" spans="1:29" s="215" customFormat="1">
      <c r="B372" s="250" t="s">
        <v>287</v>
      </c>
      <c r="C372" s="225" t="str">
        <f>VLOOKUP(Table2[[#This Row],[Course Title]],Data!$A$1:$E$56,2,FALSE)</f>
        <v>A-493-0078</v>
      </c>
      <c r="D372" s="225">
        <f>VLOOKUP(Table2[[#This Row],[Course Title]],Data!$A$1:$E$56,3,FALSE)</f>
        <v>1228</v>
      </c>
      <c r="E372" s="250" t="s">
        <v>116</v>
      </c>
      <c r="F372" s="226">
        <v>45516</v>
      </c>
      <c r="G372" s="226">
        <v>45520</v>
      </c>
      <c r="H372" s="226"/>
      <c r="I372" s="244">
        <v>0.41666666666666669</v>
      </c>
      <c r="J372" s="244">
        <v>0.29166666666666669</v>
      </c>
      <c r="K372" s="244">
        <v>0.70833333333333337</v>
      </c>
      <c r="L372" s="244">
        <v>0.625</v>
      </c>
      <c r="M372" s="244">
        <v>0.16666666666666666</v>
      </c>
      <c r="N372" s="244">
        <v>0.95833333333333337</v>
      </c>
      <c r="O372" s="213" t="e">
        <v>#REF!</v>
      </c>
      <c r="P372" s="213" t="e">
        <v>#REF!</v>
      </c>
      <c r="Q372" s="214"/>
      <c r="T372" s="228">
        <f>VLOOKUP(Table2[[#This Row],[Course Title]],Data!$A$1:$E$56,4,FALSE)</f>
        <v>45</v>
      </c>
      <c r="U372" s="228">
        <f>VLOOKUP(Table2[[#This Row],[Course Title]],Data!$A$1:$E$56,5,FALSE)</f>
        <v>5</v>
      </c>
      <c r="V372" s="228"/>
      <c r="W372" s="218"/>
      <c r="X372" s="228"/>
      <c r="Y372" s="228"/>
      <c r="Z372" s="225"/>
      <c r="AA372" s="241">
        <f ca="1">Table2[[#This Row],[End Date]]+2-TODAY()</f>
        <v>123</v>
      </c>
      <c r="AB372" s="228">
        <f>IF(ISBLANK(#REF!),1,0)</f>
        <v>0</v>
      </c>
      <c r="AC372" s="225">
        <f ca="1">IF(Table2[[#This Row],[Start Date]]&gt;TODAY(),1,)</f>
        <v>1</v>
      </c>
    </row>
    <row r="373" spans="1:29" s="215" customFormat="1">
      <c r="B373" s="250" t="s">
        <v>299</v>
      </c>
      <c r="C373" s="225" t="str">
        <f>VLOOKUP(Table2[[#This Row],[Course Title]],Data!$A$1:$E$56,2,FALSE)</f>
        <v>A-570-0100</v>
      </c>
      <c r="D373" s="225" t="str">
        <f>VLOOKUP(Table2[[#This Row],[Course Title]],Data!$A$1:$E$56,3,FALSE)</f>
        <v>18B7</v>
      </c>
      <c r="E373" s="250" t="s">
        <v>116</v>
      </c>
      <c r="F373" s="226">
        <v>45516</v>
      </c>
      <c r="G373" s="226">
        <v>45519</v>
      </c>
      <c r="H373" s="226"/>
      <c r="I373" s="244">
        <v>0.54166666666666663</v>
      </c>
      <c r="J373" s="244">
        <v>0.41666666666666669</v>
      </c>
      <c r="K373" s="244">
        <v>0.83333333333333337</v>
      </c>
      <c r="L373" s="244">
        <v>0.75</v>
      </c>
      <c r="M373" s="244">
        <v>0.29166666666666669</v>
      </c>
      <c r="N373" s="244">
        <v>8.3333333333333329E-2</v>
      </c>
      <c r="O373" s="218" t="e">
        <v>#REF!</v>
      </c>
      <c r="P373" s="213" t="e">
        <v>#REF!</v>
      </c>
      <c r="Q373" s="218"/>
      <c r="T373" s="228">
        <f>VLOOKUP(Table2[[#This Row],[Course Title]],Data!$A$1:$E$56,4,FALSE)</f>
        <v>30</v>
      </c>
      <c r="U373" s="228">
        <f>VLOOKUP(Table2[[#This Row],[Course Title]],Data!$A$1:$E$56,5,FALSE)</f>
        <v>4</v>
      </c>
      <c r="V373" s="228"/>
      <c r="W373" s="218"/>
      <c r="X373" s="228"/>
      <c r="Y373" s="228"/>
      <c r="Z373" s="225"/>
      <c r="AA373" s="241">
        <f ca="1">Table2[[#This Row],[End Date]]+2-TODAY()</f>
        <v>122</v>
      </c>
      <c r="AB373" s="228">
        <f>IF(ISBLANK(#REF!),1,0)</f>
        <v>0</v>
      </c>
      <c r="AC373" s="225">
        <f ca="1">IF(Table2[[#This Row],[Start Date]]&gt;TODAY(),1,)</f>
        <v>1</v>
      </c>
    </row>
    <row r="374" spans="1:29" s="215" customFormat="1">
      <c r="B374" s="250" t="s">
        <v>19</v>
      </c>
      <c r="C374" s="225" t="str">
        <f>VLOOKUP(Table2[[#This Row],[Course Title]],Data!$A$1:$E$56,2,FALSE)</f>
        <v>A-493-0099</v>
      </c>
      <c r="D374" s="225" t="str">
        <f>VLOOKUP(Table2[[#This Row],[Course Title]],Data!$A$1:$E$56,3,FALSE)</f>
        <v>12JW</v>
      </c>
      <c r="E374" s="224" t="s">
        <v>116</v>
      </c>
      <c r="F374" s="226">
        <v>45517</v>
      </c>
      <c r="G374" s="226">
        <v>45519</v>
      </c>
      <c r="H374" s="226"/>
      <c r="I374" s="244">
        <v>0.79166666666666663</v>
      </c>
      <c r="J374" s="244">
        <v>0.66666666666666663</v>
      </c>
      <c r="K374" s="244">
        <v>8.3333333333333329E-2</v>
      </c>
      <c r="L374" s="244">
        <v>0</v>
      </c>
      <c r="M374" s="244">
        <v>0.54166666666666663</v>
      </c>
      <c r="N374" s="244">
        <v>0.33333333333333331</v>
      </c>
      <c r="O374" s="213" t="e">
        <v>#REF!</v>
      </c>
      <c r="P374" s="213" t="e">
        <v>#REF!</v>
      </c>
      <c r="Q374" s="214"/>
      <c r="T374" s="228">
        <f>VLOOKUP(Table2[[#This Row],[Course Title]],Data!$A$1:$E$56,4,FALSE)</f>
        <v>45</v>
      </c>
      <c r="U374" s="228">
        <f>VLOOKUP(Table2[[#This Row],[Course Title]],Data!$A$1:$E$56,5,FALSE)</f>
        <v>3</v>
      </c>
      <c r="V374" s="228"/>
      <c r="W374" s="218"/>
      <c r="X374" s="228"/>
      <c r="Y374" s="228"/>
      <c r="Z374" s="225"/>
      <c r="AA374" s="241">
        <f ca="1">Table2[[#This Row],[End Date]]+2-TODAY()</f>
        <v>122</v>
      </c>
      <c r="AB374" s="228">
        <f>IF(ISBLANK(#REF!),1,0)</f>
        <v>0</v>
      </c>
      <c r="AC374" s="225">
        <f ca="1">IF(Table2[[#This Row],[Start Date]]&gt;TODAY(),1,)</f>
        <v>1</v>
      </c>
    </row>
    <row r="375" spans="1:29" s="215" customFormat="1">
      <c r="B375" s="250" t="s">
        <v>20</v>
      </c>
      <c r="C375" s="225" t="str">
        <f>VLOOKUP(Table2[[#This Row],[Course Title]],Data!$A$1:$E$56,2,FALSE)</f>
        <v xml:space="preserve">A-493-0075 </v>
      </c>
      <c r="D375" s="225" t="str">
        <f>VLOOKUP(Table2[[#This Row],[Course Title]],Data!$A$1:$E$56,3,FALSE)</f>
        <v>714U</v>
      </c>
      <c r="E375" s="250" t="s">
        <v>147</v>
      </c>
      <c r="F375" s="226">
        <v>45517</v>
      </c>
      <c r="G375" s="226">
        <v>45520</v>
      </c>
      <c r="H375" s="227">
        <v>0.33333333333333331</v>
      </c>
      <c r="I375" s="227"/>
      <c r="J375" s="226"/>
      <c r="K375" s="226"/>
      <c r="L375" s="226"/>
      <c r="M375" s="226"/>
      <c r="N375" s="226"/>
      <c r="O375" s="213" t="e">
        <v>#REF!</v>
      </c>
      <c r="P375" s="213" t="e">
        <v>#REF!</v>
      </c>
      <c r="Q375" s="214"/>
      <c r="T375" s="228">
        <f>VLOOKUP(Table2[[#This Row],[Course Title]],Data!$A$1:$E$56,4,FALSE)</f>
        <v>30</v>
      </c>
      <c r="U375" s="228">
        <f>VLOOKUP(Table2[[#This Row],[Course Title]],Data!$A$1:$E$56,5,FALSE)</f>
        <v>4</v>
      </c>
      <c r="V375" s="228"/>
      <c r="W375" s="218"/>
      <c r="X375" s="228"/>
      <c r="Y375" s="228"/>
      <c r="Z375" s="225"/>
      <c r="AA375" s="241">
        <f ca="1">Table2[[#This Row],[End Date]]+2-TODAY()</f>
        <v>123</v>
      </c>
      <c r="AB375" s="228">
        <f>IF(ISBLANK(#REF!),1,0)</f>
        <v>0</v>
      </c>
      <c r="AC375" s="225">
        <f ca="1">IF(Table2[[#This Row],[Start Date]]&gt;TODAY(),1,)</f>
        <v>1</v>
      </c>
    </row>
    <row r="376" spans="1:29" s="215" customFormat="1">
      <c r="B376" s="250" t="s">
        <v>26</v>
      </c>
      <c r="C376" s="225" t="str">
        <f>VLOOKUP(Table2[[#This Row],[Course Title]],Data!$A$1:$E$56,2,FALSE)</f>
        <v>A-493-2301</v>
      </c>
      <c r="D376" s="225" t="str">
        <f>VLOOKUP(Table2[[#This Row],[Course Title]],Data!$A$1:$E$56,3,FALSE)</f>
        <v>05ZD</v>
      </c>
      <c r="E376" s="250" t="s">
        <v>104</v>
      </c>
      <c r="F376" s="226">
        <v>45518</v>
      </c>
      <c r="G376" s="226">
        <v>45518</v>
      </c>
      <c r="H376" s="227">
        <v>0.33333333333333331</v>
      </c>
      <c r="I376" s="227"/>
      <c r="J376" s="226"/>
      <c r="K376" s="226"/>
      <c r="L376" s="226"/>
      <c r="M376" s="226"/>
      <c r="N376" s="226"/>
      <c r="O376" s="218" t="e">
        <v>#REF!</v>
      </c>
      <c r="P376" s="213" t="e">
        <v>#REF!</v>
      </c>
      <c r="Q376" s="218"/>
      <c r="T376" s="228">
        <f>VLOOKUP(Table2[[#This Row],[Course Title]],Data!$A$1:$E$56,4,FALSE)</f>
        <v>30</v>
      </c>
      <c r="U376" s="228">
        <f>VLOOKUP(Table2[[#This Row],[Course Title]],Data!$A$1:$E$56,5,FALSE)</f>
        <v>1</v>
      </c>
      <c r="V376" s="228"/>
      <c r="W376" s="218"/>
      <c r="X376" s="228"/>
      <c r="Y376" s="228"/>
      <c r="Z376" s="225"/>
      <c r="AA376" s="241">
        <f ca="1">Table2[[#This Row],[End Date]]+2-TODAY()</f>
        <v>121</v>
      </c>
      <c r="AB376" s="228">
        <f>IF(ISBLANK(#REF!),1,0)</f>
        <v>0</v>
      </c>
      <c r="AC376" s="225">
        <f ca="1">IF(Table2[[#This Row],[Start Date]]&gt;TODAY(),1,)</f>
        <v>1</v>
      </c>
    </row>
    <row r="377" spans="1:29" s="215" customFormat="1">
      <c r="B377" s="250" t="s">
        <v>26</v>
      </c>
      <c r="C377" s="225" t="str">
        <f>VLOOKUP(Table2[[#This Row],[Course Title]],Data!$A$1:$E$56,2,FALSE)</f>
        <v>A-493-2301</v>
      </c>
      <c r="D377" s="225" t="str">
        <f>VLOOKUP(Table2[[#This Row],[Course Title]],Data!$A$1:$E$56,3,FALSE)</f>
        <v>05ZD</v>
      </c>
      <c r="E377" s="250" t="s">
        <v>133</v>
      </c>
      <c r="F377" s="226">
        <v>45518</v>
      </c>
      <c r="G377" s="226">
        <v>45518</v>
      </c>
      <c r="H377" s="227">
        <v>0.33333333333333331</v>
      </c>
      <c r="I377" s="227"/>
      <c r="J377" s="226"/>
      <c r="K377" s="226"/>
      <c r="L377" s="226"/>
      <c r="M377" s="226"/>
      <c r="N377" s="226"/>
      <c r="O377" s="213" t="e">
        <v>#REF!</v>
      </c>
      <c r="P377" s="213" t="e">
        <v>#REF!</v>
      </c>
      <c r="Q377" s="213"/>
      <c r="T377" s="228">
        <f>VLOOKUP(Table2[[#This Row],[Course Title]],Data!$A$1:$E$56,4,FALSE)</f>
        <v>30</v>
      </c>
      <c r="U377" s="228">
        <f>VLOOKUP(Table2[[#This Row],[Course Title]],Data!$A$1:$E$56,5,FALSE)</f>
        <v>1</v>
      </c>
      <c r="V377" s="228"/>
      <c r="W377" s="218"/>
      <c r="X377" s="228"/>
      <c r="Y377" s="228"/>
      <c r="Z377" s="225"/>
      <c r="AA377" s="241">
        <f ca="1">Table2[[#This Row],[End Date]]+2-TODAY()</f>
        <v>121</v>
      </c>
      <c r="AB377" s="228">
        <f>IF(ISBLANK(#REF!),1,0)</f>
        <v>0</v>
      </c>
      <c r="AC377" s="225">
        <f ca="1">IF(Table2[[#This Row],[Start Date]]&gt;TODAY(),1,)</f>
        <v>1</v>
      </c>
    </row>
    <row r="378" spans="1:29" s="215" customFormat="1">
      <c r="B378" s="250" t="s">
        <v>35</v>
      </c>
      <c r="C378" s="225" t="str">
        <f>VLOOKUP(Table2[[#This Row],[Course Title]],Data!$A$1:$E$56,2,FALSE)</f>
        <v>A-493-2501</v>
      </c>
      <c r="D378" s="225" t="str">
        <f>VLOOKUP(Table2[[#This Row],[Course Title]],Data!$A$1:$E$56,3,FALSE)</f>
        <v>05ZE</v>
      </c>
      <c r="E378" s="250" t="s">
        <v>104</v>
      </c>
      <c r="F378" s="226">
        <v>45519</v>
      </c>
      <c r="G378" s="226">
        <v>45519</v>
      </c>
      <c r="H378" s="227">
        <v>0.33333333333333331</v>
      </c>
      <c r="I378" s="227"/>
      <c r="J378" s="226"/>
      <c r="K378" s="226"/>
      <c r="L378" s="226"/>
      <c r="M378" s="226"/>
      <c r="N378" s="226"/>
      <c r="O378" s="218" t="e">
        <v>#REF!</v>
      </c>
      <c r="P378" s="213" t="e">
        <v>#REF!</v>
      </c>
      <c r="Q378" s="218"/>
      <c r="T378" s="228">
        <f>VLOOKUP(Table2[[#This Row],[Course Title]],Data!$A$1:$E$56,4,FALSE)</f>
        <v>30</v>
      </c>
      <c r="U378" s="228">
        <f>VLOOKUP(Table2[[#This Row],[Course Title]],Data!$A$1:$E$56,5,FALSE)</f>
        <v>1</v>
      </c>
      <c r="V378" s="228"/>
      <c r="W378" s="218"/>
      <c r="X378" s="228"/>
      <c r="Y378" s="228"/>
      <c r="Z378" s="225"/>
      <c r="AA378" s="241">
        <f ca="1">Table2[[#This Row],[End Date]]+2-TODAY()</f>
        <v>122</v>
      </c>
      <c r="AB378" s="228">
        <f>IF(ISBLANK(#REF!),1,0)</f>
        <v>0</v>
      </c>
      <c r="AC378" s="225">
        <f ca="1">IF(Table2[[#This Row],[Start Date]]&gt;TODAY(),1,)</f>
        <v>1</v>
      </c>
    </row>
    <row r="379" spans="1:29" s="215" customFormat="1">
      <c r="B379" s="250" t="s">
        <v>11</v>
      </c>
      <c r="C379" s="225" t="str">
        <f>VLOOKUP(Table2[[#This Row],[Course Title]],Data!$A$1:$E$56,2,FALSE)</f>
        <v>A-493-0070</v>
      </c>
      <c r="D379" s="225" t="str">
        <f>VLOOKUP(Table2[[#This Row],[Course Title]],Data!$A$1:$E$56,3,FALSE)</f>
        <v>450V</v>
      </c>
      <c r="E379" s="252" t="s">
        <v>116</v>
      </c>
      <c r="F379" s="243">
        <v>45523</v>
      </c>
      <c r="G379" s="243">
        <v>45524</v>
      </c>
      <c r="H379" s="239"/>
      <c r="I379" s="244">
        <v>0.25</v>
      </c>
      <c r="J379" s="244">
        <v>0.125</v>
      </c>
      <c r="K379" s="244">
        <v>0.54166666666666663</v>
      </c>
      <c r="L379" s="244">
        <v>0.45833333333333331</v>
      </c>
      <c r="M379" s="244">
        <v>0</v>
      </c>
      <c r="N379" s="244">
        <v>0.79166666666666663</v>
      </c>
      <c r="O379" s="213" t="e">
        <v>#REF!</v>
      </c>
      <c r="P379" s="213" t="e">
        <v>#REF!</v>
      </c>
      <c r="Q379" s="213"/>
      <c r="T379" s="228">
        <f>VLOOKUP(Table2[[#This Row],[Course Title]],Data!$A$1:$E$56,4,FALSE)</f>
        <v>30</v>
      </c>
      <c r="U379" s="228">
        <f>VLOOKUP(Table2[[#This Row],[Course Title]],Data!$A$1:$E$56,5,FALSE)</f>
        <v>1</v>
      </c>
      <c r="V379" s="228"/>
      <c r="W379" s="218"/>
      <c r="X379" s="228"/>
      <c r="Y379" s="228"/>
      <c r="Z379" s="225"/>
      <c r="AA379" s="241">
        <f ca="1">Table2[[#This Row],[End Date]]+2-TODAY()</f>
        <v>127</v>
      </c>
      <c r="AB379" s="228">
        <f>IF(ISBLANK(#REF!),1,0)</f>
        <v>0</v>
      </c>
      <c r="AC379" s="225">
        <f ca="1">IF(Table2[[#This Row],[Start Date]]&gt;TODAY(),1,)</f>
        <v>1</v>
      </c>
    </row>
    <row r="380" spans="1:29" s="215" customFormat="1">
      <c r="A380" s="215" t="s">
        <v>432</v>
      </c>
      <c r="B380" s="250" t="s">
        <v>236</v>
      </c>
      <c r="C380" s="225" t="str">
        <f>VLOOKUP(Table2[[#This Row],[Course Title]],Data!$A$1:$E$56,2,FALSE)</f>
        <v>A-493-0103</v>
      </c>
      <c r="D380" s="225" t="str">
        <f>VLOOKUP(Table2[[#This Row],[Course Title]],Data!$A$1:$E$56,3,FALSE)</f>
        <v>12JY</v>
      </c>
      <c r="E380" s="250" t="s">
        <v>221</v>
      </c>
      <c r="F380" s="245">
        <v>45523</v>
      </c>
      <c r="G380" s="245">
        <v>45527</v>
      </c>
      <c r="H380" s="227">
        <v>0.33333333333333331</v>
      </c>
      <c r="I380" s="227"/>
      <c r="J380" s="226"/>
      <c r="K380" s="226"/>
      <c r="L380" s="226"/>
      <c r="M380" s="226"/>
      <c r="N380" s="226"/>
      <c r="O380" s="213" t="e">
        <v>#REF!</v>
      </c>
      <c r="P380" s="213" t="e">
        <v>#REF!</v>
      </c>
      <c r="Q380" s="214"/>
      <c r="T380" s="228">
        <f>VLOOKUP(Table2[[#This Row],[Course Title]],Data!$A$1:$E$56,4,FALSE)</f>
        <v>25</v>
      </c>
      <c r="U380" s="228">
        <f>VLOOKUP(Table2[[#This Row],[Course Title]],Data!$A$1:$E$56,5,FALSE)</f>
        <v>5</v>
      </c>
      <c r="V380" s="228"/>
      <c r="W380" s="218"/>
      <c r="X380" s="228"/>
      <c r="Y380" s="228"/>
      <c r="Z380" s="225"/>
      <c r="AA380" s="241">
        <f ca="1">Table2[[#This Row],[End Date]]+2-TODAY()</f>
        <v>130</v>
      </c>
      <c r="AB380" s="228">
        <f>IF(ISBLANK(#REF!),1,0)</f>
        <v>0</v>
      </c>
      <c r="AC380" s="225">
        <f ca="1">IF(Table2[[#This Row],[Start Date]]&gt;TODAY(),1,)</f>
        <v>1</v>
      </c>
    </row>
    <row r="381" spans="1:29" s="215" customFormat="1">
      <c r="A381" s="224"/>
      <c r="B381" s="250" t="s">
        <v>236</v>
      </c>
      <c r="C381" s="225" t="str">
        <f>VLOOKUP(Table2[[#This Row],[Course Title]],Data!$A$1:$E$56,2,FALSE)</f>
        <v>A-493-0103</v>
      </c>
      <c r="D381" s="225" t="str">
        <f>VLOOKUP(Table2[[#This Row],[Course Title]],Data!$A$1:$E$56,3,FALSE)</f>
        <v>12JY</v>
      </c>
      <c r="E381" s="250" t="s">
        <v>141</v>
      </c>
      <c r="F381" s="245">
        <v>45523</v>
      </c>
      <c r="G381" s="245">
        <v>45527</v>
      </c>
      <c r="H381" s="227">
        <v>0.33333333333333331</v>
      </c>
      <c r="I381" s="227"/>
      <c r="J381" s="226"/>
      <c r="K381" s="226"/>
      <c r="L381" s="226"/>
      <c r="M381" s="226"/>
      <c r="N381" s="226"/>
      <c r="O381" s="213" t="e">
        <v>#REF!</v>
      </c>
      <c r="P381" s="213" t="e">
        <v>#REF!</v>
      </c>
      <c r="Q381" s="213"/>
      <c r="T381" s="228">
        <f>VLOOKUP(Table2[[#This Row],[Course Title]],Data!$A$1:$E$56,4,FALSE)</f>
        <v>25</v>
      </c>
      <c r="U381" s="228">
        <f>VLOOKUP(Table2[[#This Row],[Course Title]],Data!$A$1:$E$56,5,FALSE)</f>
        <v>5</v>
      </c>
      <c r="V381" s="228"/>
      <c r="W381" s="218"/>
      <c r="X381" s="228"/>
      <c r="Y381" s="228"/>
      <c r="Z381" s="225"/>
      <c r="AA381" s="241">
        <f ca="1">Table2[[#This Row],[End Date]]+2-TODAY()</f>
        <v>130</v>
      </c>
      <c r="AB381" s="228">
        <f>IF(ISBLANK(#REF!),1,0)</f>
        <v>0</v>
      </c>
      <c r="AC381" s="225">
        <f ca="1">IF(Table2[[#This Row],[Start Date]]&gt;TODAY(),1,)</f>
        <v>1</v>
      </c>
    </row>
    <row r="382" spans="1:29" s="215" customFormat="1">
      <c r="B382" s="250" t="s">
        <v>18</v>
      </c>
      <c r="C382" s="225" t="str">
        <f>VLOOKUP(Table2[[#This Row],[Course Title]],Data!$A$1:$E$56,2,FALSE)</f>
        <v>A-493-0013</v>
      </c>
      <c r="D382" s="225">
        <f>VLOOKUP(Table2[[#This Row],[Course Title]],Data!$A$1:$E$56,3,FALSE)</f>
        <v>3683</v>
      </c>
      <c r="E382" s="252" t="s">
        <v>139</v>
      </c>
      <c r="F382" s="245">
        <v>45523</v>
      </c>
      <c r="G382" s="245">
        <v>45525</v>
      </c>
      <c r="H382" s="227">
        <v>0.33333333333333331</v>
      </c>
      <c r="I382" s="227"/>
      <c r="J382" s="226"/>
      <c r="K382" s="226"/>
      <c r="L382" s="226"/>
      <c r="M382" s="226"/>
      <c r="N382" s="226"/>
      <c r="O382" s="218" t="e">
        <v>#REF!</v>
      </c>
      <c r="P382" s="213" t="e">
        <v>#REF!</v>
      </c>
      <c r="Q382" s="218"/>
      <c r="T382" s="228">
        <f>VLOOKUP(Table2[[#This Row],[Course Title]],Data!$A$1:$E$56,4,FALSE)</f>
        <v>40</v>
      </c>
      <c r="U382" s="228">
        <v>3</v>
      </c>
      <c r="V382" s="228"/>
      <c r="W382" s="218"/>
      <c r="X382" s="228"/>
      <c r="Y382" s="228"/>
      <c r="Z382" s="225"/>
      <c r="AA382" s="241">
        <f ca="1">Table2[[#This Row],[End Date]]+2-TODAY()</f>
        <v>128</v>
      </c>
      <c r="AB382" s="228">
        <f>IF(ISBLANK(#REF!),1,0)</f>
        <v>0</v>
      </c>
      <c r="AC382" s="225">
        <f ca="1">IF(Table2[[#This Row],[Start Date]]&gt;TODAY(),1,)</f>
        <v>1</v>
      </c>
    </row>
    <row r="383" spans="1:29" s="215" customFormat="1">
      <c r="B383" s="250" t="s">
        <v>20</v>
      </c>
      <c r="C383" s="225" t="str">
        <f>VLOOKUP(Table2[[#This Row],[Course Title]],Data!$A$1:$E$56,2,FALSE)</f>
        <v xml:space="preserve">A-493-0075 </v>
      </c>
      <c r="D383" s="225" t="str">
        <f>VLOOKUP(Table2[[#This Row],[Course Title]],Data!$A$1:$E$56,3,FALSE)</f>
        <v>714U</v>
      </c>
      <c r="E383" s="250" t="s">
        <v>156</v>
      </c>
      <c r="F383" s="245">
        <v>45523</v>
      </c>
      <c r="G383" s="245">
        <v>45526</v>
      </c>
      <c r="H383" s="227">
        <v>0.33333333333333331</v>
      </c>
      <c r="I383" s="227"/>
      <c r="J383" s="226"/>
      <c r="K383" s="226"/>
      <c r="L383" s="226"/>
      <c r="M383" s="226"/>
      <c r="N383" s="226"/>
      <c r="O383" s="213" t="e">
        <v>#REF!</v>
      </c>
      <c r="P383" s="213" t="e">
        <v>#REF!</v>
      </c>
      <c r="Q383" s="214"/>
      <c r="T383" s="228">
        <f>VLOOKUP(Table2[[#This Row],[Course Title]],Data!$A$1:$E$56,4,FALSE)</f>
        <v>30</v>
      </c>
      <c r="U383" s="228">
        <f>VLOOKUP(Table2[[#This Row],[Course Title]],Data!$A$1:$E$56,5,FALSE)</f>
        <v>4</v>
      </c>
      <c r="V383" s="228"/>
      <c r="W383" s="218"/>
      <c r="X383" s="228"/>
      <c r="Y383" s="228"/>
      <c r="Z383" s="225"/>
      <c r="AA383" s="241">
        <f ca="1">Table2[[#This Row],[End Date]]+2-TODAY()</f>
        <v>129</v>
      </c>
      <c r="AB383" s="228">
        <f>IF(ISBLANK(#REF!),1,0)</f>
        <v>0</v>
      </c>
      <c r="AC383" s="225">
        <f ca="1">IF(Table2[[#This Row],[Start Date]]&gt;TODAY(),1,)</f>
        <v>1</v>
      </c>
    </row>
    <row r="384" spans="1:29" s="215" customFormat="1">
      <c r="B384" s="250" t="s">
        <v>248</v>
      </c>
      <c r="C384" s="225" t="str">
        <f>VLOOKUP(Table2[[#This Row],[Course Title]],Data!$A$1:$E$56,2,FALSE)</f>
        <v>A-322-2604</v>
      </c>
      <c r="D384" s="225" t="str">
        <f>VLOOKUP(Table2[[#This Row],[Course Title]],Data!$A$1:$E$56,3,FALSE)</f>
        <v>10ZZ</v>
      </c>
      <c r="E384" s="250" t="s">
        <v>116</v>
      </c>
      <c r="F384" s="245">
        <v>45523</v>
      </c>
      <c r="G384" s="245">
        <v>45527</v>
      </c>
      <c r="H384" s="226"/>
      <c r="I384" s="244">
        <v>0.54166666666666663</v>
      </c>
      <c r="J384" s="244">
        <v>0.41666666666666669</v>
      </c>
      <c r="K384" s="244">
        <v>0.83333333333333337</v>
      </c>
      <c r="L384" s="244">
        <v>0.75</v>
      </c>
      <c r="M384" s="244">
        <v>0.29166666666666669</v>
      </c>
      <c r="N384" s="244">
        <v>8.3333333333333329E-2</v>
      </c>
      <c r="O384" s="218" t="e">
        <v>#REF!</v>
      </c>
      <c r="P384" s="213" t="e">
        <v>#REF!</v>
      </c>
      <c r="Q384" s="218"/>
      <c r="T384" s="228">
        <f>VLOOKUP(Table2[[#This Row],[Course Title]],Data!$A$1:$E$56,4,FALSE)</f>
        <v>45</v>
      </c>
      <c r="U384" s="228">
        <f>VLOOKUP(Table2[[#This Row],[Course Title]],Data!$A$1:$E$56,5,FALSE)</f>
        <v>5</v>
      </c>
      <c r="V384" s="228"/>
      <c r="W384" s="218"/>
      <c r="X384" s="228"/>
      <c r="Y384" s="228"/>
      <c r="Z384" s="225"/>
      <c r="AA384" s="241">
        <f ca="1">Table2[[#This Row],[End Date]]+2-TODAY()</f>
        <v>130</v>
      </c>
      <c r="AB384" s="228">
        <f>IF(ISBLANK(#REF!),1,0)</f>
        <v>0</v>
      </c>
      <c r="AC384" s="225">
        <f ca="1">IF(Table2[[#This Row],[Start Date]]&gt;TODAY(),1,)</f>
        <v>1</v>
      </c>
    </row>
    <row r="385" spans="1:29" s="215" customFormat="1">
      <c r="B385" s="250" t="s">
        <v>312</v>
      </c>
      <c r="C385" s="225" t="str">
        <f>VLOOKUP(Table2[[#This Row],[Course Title]],Data!$A$1:$E$56,2,FALSE)</f>
        <v>A-493-2098</v>
      </c>
      <c r="D385" s="225" t="str">
        <f>VLOOKUP(Table2[[#This Row],[Course Title]],Data!$A$1:$E$56,3,FALSE)</f>
        <v>09WW</v>
      </c>
      <c r="E385" s="250" t="s">
        <v>116</v>
      </c>
      <c r="F385" s="245">
        <v>45523</v>
      </c>
      <c r="G385" s="245">
        <v>45527</v>
      </c>
      <c r="H385" s="226"/>
      <c r="I385" s="244">
        <v>0.54166666666666663</v>
      </c>
      <c r="J385" s="244">
        <v>0.41666666666666669</v>
      </c>
      <c r="K385" s="244">
        <v>0.83333333333333337</v>
      </c>
      <c r="L385" s="244">
        <v>0.75</v>
      </c>
      <c r="M385" s="244">
        <v>0.29166666666666669</v>
      </c>
      <c r="N385" s="244">
        <v>8.3333333333333329E-2</v>
      </c>
      <c r="O385" s="218" t="e">
        <v>#REF!</v>
      </c>
      <c r="P385" s="213" t="e">
        <v>#REF!</v>
      </c>
      <c r="Q385" s="218"/>
      <c r="T385" s="228">
        <f>VLOOKUP(Table2[[#This Row],[Course Title]],Data!$A$1:$E$56,4,FALSE)</f>
        <v>100</v>
      </c>
      <c r="U385" s="228">
        <f>VLOOKUP(Table2[[#This Row],[Course Title]],Data!$A$1:$E$56,5,FALSE)</f>
        <v>5</v>
      </c>
      <c r="V385" s="228"/>
      <c r="W385" s="218"/>
      <c r="X385" s="228"/>
      <c r="Y385" s="228"/>
      <c r="Z385" s="225"/>
      <c r="AA385" s="241">
        <f ca="1">Table2[[#This Row],[End Date]]+2-TODAY()</f>
        <v>130</v>
      </c>
      <c r="AB385" s="228">
        <f>IF(ISBLANK(#REF!),1,0)</f>
        <v>0</v>
      </c>
      <c r="AC385" s="225">
        <f ca="1">IF(Table2[[#This Row],[Start Date]]&gt;TODAY(),1,)</f>
        <v>1</v>
      </c>
    </row>
    <row r="386" spans="1:29" s="215" customFormat="1">
      <c r="B386" s="269" t="s">
        <v>321</v>
      </c>
      <c r="C386" s="225" t="str">
        <f>VLOOKUP(Table2[[#This Row],[Course Title]],Data!$A$1:$E$56,2,FALSE)</f>
        <v>F-4J-0023</v>
      </c>
      <c r="D386" s="225" t="str">
        <f>VLOOKUP(Table2[[#This Row],[Course Title]],Data!$A$1:$E$56,3,FALSE)</f>
        <v>11A2</v>
      </c>
      <c r="E386" s="250" t="s">
        <v>116</v>
      </c>
      <c r="F386" s="245">
        <v>45523</v>
      </c>
      <c r="G386" s="245">
        <v>45527</v>
      </c>
      <c r="H386" s="226"/>
      <c r="I386" s="244">
        <v>0.54166666666666663</v>
      </c>
      <c r="J386" s="244">
        <v>0.41666666666666669</v>
      </c>
      <c r="K386" s="244">
        <v>0.83333333333333337</v>
      </c>
      <c r="L386" s="244">
        <v>0.75</v>
      </c>
      <c r="M386" s="244">
        <v>0.29166666666666669</v>
      </c>
      <c r="N386" s="244">
        <v>8.3333333333333329E-2</v>
      </c>
      <c r="O386" s="218" t="e">
        <v>#REF!</v>
      </c>
      <c r="P386" s="213" t="e">
        <v>#REF!</v>
      </c>
      <c r="Q386" s="218"/>
      <c r="T386" s="228">
        <f>VLOOKUP(Table2[[#This Row],[Course Title]],Data!$A$1:$E$56,4,FALSE)</f>
        <v>25</v>
      </c>
      <c r="U386" s="228">
        <f>VLOOKUP(Table2[[#This Row],[Course Title]],Data!$A$1:$E$56,5,FALSE)</f>
        <v>2</v>
      </c>
      <c r="V386" s="228"/>
      <c r="W386" s="218"/>
      <c r="X386" s="228"/>
      <c r="Y386" s="228"/>
      <c r="Z386" s="225"/>
      <c r="AA386" s="241">
        <f ca="1">Table2[[#This Row],[End Date]]+2-TODAY()</f>
        <v>130</v>
      </c>
      <c r="AB386" s="228">
        <f>IF(ISBLANK(#REF!),1,0)</f>
        <v>0</v>
      </c>
      <c r="AC386" s="225">
        <f ca="1">IF(Table2[[#This Row],[Start Date]]&gt;TODAY(),1,)</f>
        <v>1</v>
      </c>
    </row>
    <row r="387" spans="1:29" s="215" customFormat="1">
      <c r="A387" s="215" t="s">
        <v>495</v>
      </c>
      <c r="B387" s="250" t="s">
        <v>40</v>
      </c>
      <c r="C387" s="225" t="str">
        <f>VLOOKUP(Table2[[#This Row],[Course Title]],Data!$A$1:$E$56,2,FALSE)</f>
        <v>A-493-2017</v>
      </c>
      <c r="D387" s="225" t="str">
        <f>VLOOKUP(Table2[[#This Row],[Course Title]],Data!$A$1:$E$56,3,FALSE)</f>
        <v>12x3</v>
      </c>
      <c r="E387" s="224" t="s">
        <v>140</v>
      </c>
      <c r="F387" s="226">
        <v>45523</v>
      </c>
      <c r="G387" s="226">
        <v>45527</v>
      </c>
      <c r="H387" s="227">
        <v>0.33333333333333331</v>
      </c>
      <c r="I387" s="227"/>
      <c r="J387" s="226"/>
      <c r="K387" s="226"/>
      <c r="L387" s="226"/>
      <c r="M387" s="226"/>
      <c r="N387" s="226"/>
      <c r="O387" s="218"/>
      <c r="P387" s="213"/>
      <c r="Q387" s="218"/>
      <c r="T387" s="218">
        <v>25</v>
      </c>
      <c r="U387" s="213">
        <v>2</v>
      </c>
      <c r="V387" s="218"/>
      <c r="W387" s="218"/>
      <c r="X387" s="228"/>
      <c r="Y387" s="228"/>
      <c r="Z387" s="225"/>
      <c r="AA387" s="241">
        <f ca="1">Table2[[#This Row],[End Date]]+2-TODAY()</f>
        <v>130</v>
      </c>
      <c r="AB387" s="228">
        <f>IF(ISBLANK(#REF!),1,0)</f>
        <v>0</v>
      </c>
      <c r="AC387" s="225">
        <f ca="1">IF(Table2[[#This Row],[Start Date]]&gt;TODAY(),1,)</f>
        <v>1</v>
      </c>
    </row>
    <row r="388" spans="1:29" s="215" customFormat="1">
      <c r="A388" s="224"/>
      <c r="B388" s="250" t="s">
        <v>266</v>
      </c>
      <c r="C388" s="225" t="str">
        <f>VLOOKUP(Table2[[#This Row],[Course Title]],Data!$A$1:$E$56,2,FALSE)</f>
        <v>A-493-0331</v>
      </c>
      <c r="D388" s="225" t="str">
        <f>VLOOKUP(Table2[[#This Row],[Course Title]],Data!$A$1:$E$56,3,FALSE)</f>
        <v>10UG</v>
      </c>
      <c r="E388" s="270" t="s">
        <v>116</v>
      </c>
      <c r="F388" s="226">
        <v>45524</v>
      </c>
      <c r="G388" s="226">
        <v>45526</v>
      </c>
      <c r="H388" s="226"/>
      <c r="I388" s="244">
        <v>0.5</v>
      </c>
      <c r="J388" s="244">
        <v>0.375</v>
      </c>
      <c r="K388" s="244">
        <v>0.79166666666666663</v>
      </c>
      <c r="L388" s="244">
        <v>0.70833333333333337</v>
      </c>
      <c r="M388" s="244">
        <v>0.25</v>
      </c>
      <c r="N388" s="244">
        <v>4.1666666666666664E-2</v>
      </c>
      <c r="O388" s="213" t="e">
        <v>#REF!</v>
      </c>
      <c r="P388" s="213" t="e">
        <v>#REF!</v>
      </c>
      <c r="Q388" s="214"/>
      <c r="T388" s="228">
        <f>VLOOKUP(Table2[[#This Row],[Course Title]],Data!$A$1:$E$56,4,FALSE)</f>
        <v>40</v>
      </c>
      <c r="U388" s="228">
        <f>VLOOKUP(Table2[[#This Row],[Course Title]],Data!$A$1:$E$56,5,FALSE)</f>
        <v>3</v>
      </c>
      <c r="V388" s="228"/>
      <c r="W388" s="218"/>
      <c r="X388" s="228"/>
      <c r="Y388" s="228"/>
      <c r="Z388" s="225"/>
      <c r="AA388" s="241">
        <f ca="1">Table2[[#This Row],[End Date]]+2-TODAY()</f>
        <v>129</v>
      </c>
      <c r="AB388" s="228">
        <f>IF(ISBLANK(#REF!),1,0)</f>
        <v>0</v>
      </c>
      <c r="AC388" s="225">
        <f ca="1">IF(Table2[[#This Row],[Start Date]]&gt;TODAY(),1,)</f>
        <v>1</v>
      </c>
    </row>
    <row r="389" spans="1:29" s="215" customFormat="1">
      <c r="B389" s="252" t="s">
        <v>23</v>
      </c>
      <c r="C389" s="225" t="str">
        <f>VLOOKUP(Table2[[#This Row],[Course Title]],Data!$A$1:$E$56,2,FALSE)</f>
        <v>A-493-0077</v>
      </c>
      <c r="D389" s="225" t="str">
        <f>VLOOKUP(Table2[[#This Row],[Course Title]],Data!$A$1:$E$56,3,FALSE)</f>
        <v>0381</v>
      </c>
      <c r="E389" s="271" t="s">
        <v>251</v>
      </c>
      <c r="F389" s="239">
        <v>45524</v>
      </c>
      <c r="G389" s="239">
        <v>45526</v>
      </c>
      <c r="H389" s="244">
        <v>0.33333333333333331</v>
      </c>
      <c r="I389" s="244"/>
      <c r="J389" s="226"/>
      <c r="K389" s="226"/>
      <c r="L389" s="226"/>
      <c r="M389" s="226"/>
      <c r="N389" s="226"/>
      <c r="O389" s="218" t="e">
        <v>#REF!</v>
      </c>
      <c r="P389" s="213" t="e">
        <v>#REF!</v>
      </c>
      <c r="Q389" s="218"/>
      <c r="T389" s="228">
        <f>VLOOKUP(Table2[[#This Row],[Course Title]],Data!$A$1:$E$56,4,FALSE)</f>
        <v>25</v>
      </c>
      <c r="U389" s="228">
        <f>VLOOKUP(Table2[[#This Row],[Course Title]],Data!$A$1:$E$56,5,FALSE)</f>
        <v>3</v>
      </c>
      <c r="V389" s="228"/>
      <c r="W389" s="218"/>
      <c r="X389" s="228"/>
      <c r="Y389" s="228"/>
      <c r="Z389" s="225"/>
      <c r="AA389" s="241">
        <f ca="1">Table2[[#This Row],[End Date]]+2-TODAY()</f>
        <v>129</v>
      </c>
      <c r="AB389" s="228">
        <f>IF(ISBLANK(#REF!),1,0)</f>
        <v>0</v>
      </c>
      <c r="AC389" s="225">
        <f ca="1">IF(Table2[[#This Row],[Start Date]]&gt;TODAY(),1,)</f>
        <v>1</v>
      </c>
    </row>
    <row r="390" spans="1:29" s="215" customFormat="1">
      <c r="B390" s="250" t="s">
        <v>7</v>
      </c>
      <c r="C390" s="225" t="str">
        <f>VLOOKUP(Table2[[#This Row],[Course Title]],Data!$A$1:$E$56,2,FALSE)</f>
        <v>A-493-0015</v>
      </c>
      <c r="D390" s="225">
        <f>VLOOKUP(Table2[[#This Row],[Course Title]],Data!$A$1:$E$56,3,FALSE)</f>
        <v>3879</v>
      </c>
      <c r="E390" s="271" t="s">
        <v>116</v>
      </c>
      <c r="F390" s="239">
        <v>45525</v>
      </c>
      <c r="G390" s="239">
        <v>45525</v>
      </c>
      <c r="H390" s="239"/>
      <c r="I390" s="244">
        <v>0.25</v>
      </c>
      <c r="J390" s="244">
        <v>0.125</v>
      </c>
      <c r="K390" s="244">
        <v>0.54166666666666663</v>
      </c>
      <c r="L390" s="244">
        <v>0.45833333333333331</v>
      </c>
      <c r="M390" s="244">
        <v>0</v>
      </c>
      <c r="N390" s="244">
        <v>0.79166666666666663</v>
      </c>
      <c r="O390" s="218" t="e">
        <v>#REF!</v>
      </c>
      <c r="P390" s="218" t="e">
        <v>#REF!</v>
      </c>
      <c r="Q390" s="214"/>
      <c r="T390" s="228">
        <f>VLOOKUP(Table2[[#This Row],[Course Title]],Data!$A$1:$E$56,4,FALSE)</f>
        <v>30</v>
      </c>
      <c r="U390" s="228">
        <f>VLOOKUP(Table2[[#This Row],[Course Title]],Data!$A$1:$E$56,5,FALSE)</f>
        <v>1</v>
      </c>
      <c r="V390" s="228"/>
      <c r="W390" s="218"/>
      <c r="X390" s="228"/>
      <c r="Y390" s="228"/>
      <c r="Z390" s="225"/>
      <c r="AA390" s="241">
        <f ca="1">Table2[[#This Row],[End Date]]+2-TODAY()</f>
        <v>128</v>
      </c>
      <c r="AB390" s="228">
        <f>IF(ISBLANK(#REF!),1,0)</f>
        <v>0</v>
      </c>
      <c r="AC390" s="225">
        <f ca="1">IF(Table2[[#This Row],[Start Date]]&gt;TODAY(),1,)</f>
        <v>1</v>
      </c>
    </row>
    <row r="391" spans="1:29" s="215" customFormat="1">
      <c r="B391" s="250" t="s">
        <v>9</v>
      </c>
      <c r="C391" s="225" t="str">
        <f>VLOOKUP(Table2[[#This Row],[Course Title]],Data!$A$1:$E$56,2,FALSE)</f>
        <v>A-493-0020</v>
      </c>
      <c r="D391" s="225">
        <f>VLOOKUP(Table2[[#This Row],[Course Title]],Data!$A$1:$E$56,3,FALSE)</f>
        <v>3888</v>
      </c>
      <c r="E391" s="271" t="s">
        <v>116</v>
      </c>
      <c r="F391" s="239">
        <v>45526</v>
      </c>
      <c r="G391" s="239">
        <v>45526</v>
      </c>
      <c r="H391" s="239"/>
      <c r="I391" s="244">
        <v>0.25</v>
      </c>
      <c r="J391" s="244">
        <v>0.125</v>
      </c>
      <c r="K391" s="244">
        <v>0.54166666666666663</v>
      </c>
      <c r="L391" s="244">
        <v>0.45833333333333331</v>
      </c>
      <c r="M391" s="244">
        <v>0</v>
      </c>
      <c r="N391" s="244">
        <v>0.79166666666666663</v>
      </c>
      <c r="O391" s="213" t="e">
        <v>#REF!</v>
      </c>
      <c r="P391" s="213" t="e">
        <v>#REF!</v>
      </c>
      <c r="Q391" s="214"/>
      <c r="T391" s="228">
        <f>VLOOKUP(Table2[[#This Row],[Course Title]],Data!$A$1:$E$56,4,FALSE)</f>
        <v>30</v>
      </c>
      <c r="U391" s="228">
        <f>VLOOKUP(Table2[[#This Row],[Course Title]],Data!$A$1:$E$56,5,FALSE)</f>
        <v>1</v>
      </c>
      <c r="V391" s="228"/>
      <c r="W391" s="218"/>
      <c r="X391" s="228"/>
      <c r="Y391" s="228"/>
      <c r="Z391" s="225"/>
      <c r="AA391" s="241">
        <f ca="1">Table2[[#This Row],[End Date]]+2-TODAY()</f>
        <v>129</v>
      </c>
      <c r="AB391" s="228">
        <f>IF(ISBLANK(#REF!),1,0)</f>
        <v>0</v>
      </c>
      <c r="AC391" s="225">
        <f ca="1">IF(Table2[[#This Row],[Start Date]]&gt;TODAY(),1,)</f>
        <v>1</v>
      </c>
    </row>
    <row r="392" spans="1:29" s="215" customFormat="1">
      <c r="B392" s="250" t="s">
        <v>24</v>
      </c>
      <c r="C392" s="225" t="str">
        <f>VLOOKUP(Table2[[#This Row],[Course Title]],Data!$A$1:$E$56,2,FALSE)</f>
        <v>A-493-0083</v>
      </c>
      <c r="D392" s="225" t="str">
        <f>VLOOKUP(Table2[[#This Row],[Course Title]],Data!$A$1:$E$56,3,FALSE)</f>
        <v>339E</v>
      </c>
      <c r="E392" s="271" t="s">
        <v>251</v>
      </c>
      <c r="F392" s="239">
        <v>45527</v>
      </c>
      <c r="G392" s="239">
        <v>45527</v>
      </c>
      <c r="H392" s="244">
        <v>0.33333333333333331</v>
      </c>
      <c r="I392" s="244"/>
      <c r="J392" s="226"/>
      <c r="K392" s="226"/>
      <c r="L392" s="226"/>
      <c r="M392" s="226"/>
      <c r="N392" s="226"/>
      <c r="O392" s="218" t="e">
        <v>#REF!</v>
      </c>
      <c r="P392" s="213" t="e">
        <v>#REF!</v>
      </c>
      <c r="Q392" s="218"/>
      <c r="T392" s="228">
        <f>VLOOKUP(Table2[[#This Row],[Course Title]],Data!$A$1:$E$56,4,FALSE)</f>
        <v>30</v>
      </c>
      <c r="U392" s="228">
        <f>VLOOKUP(Table2[[#This Row],[Course Title]],Data!$A$1:$E$56,5,FALSE)</f>
        <v>1</v>
      </c>
      <c r="V392" s="228"/>
      <c r="W392" s="218"/>
      <c r="X392" s="228"/>
      <c r="Y392" s="228"/>
      <c r="Z392" s="225"/>
      <c r="AA392" s="241">
        <f ca="1">Table2[[#This Row],[End Date]]+2-TODAY()</f>
        <v>130</v>
      </c>
      <c r="AB392" s="228">
        <f>IF(ISBLANK(#REF!),1,0)</f>
        <v>0</v>
      </c>
      <c r="AC392" s="225">
        <f ca="1">IF(Table2[[#This Row],[Start Date]]&gt;TODAY(),1,)</f>
        <v>1</v>
      </c>
    </row>
    <row r="393" spans="1:29" s="215" customFormat="1">
      <c r="B393" s="250" t="s">
        <v>38</v>
      </c>
      <c r="C393" s="225" t="str">
        <f>VLOOKUP(Table2[[#This Row],[Course Title]],Data!$A$1:$E$56,2,FALSE)</f>
        <v>A-493-0072</v>
      </c>
      <c r="D393" s="225" t="str">
        <f>VLOOKUP(Table2[[#This Row],[Course Title]],Data!$A$1:$E$56,3,FALSE)</f>
        <v>713U</v>
      </c>
      <c r="E393" s="232" t="s">
        <v>140</v>
      </c>
      <c r="F393" s="226">
        <v>45530</v>
      </c>
      <c r="G393" s="226">
        <v>45533</v>
      </c>
      <c r="H393" s="246">
        <v>0.33333333333333331</v>
      </c>
      <c r="I393" s="246"/>
      <c r="J393" s="226"/>
      <c r="K393" s="226"/>
      <c r="L393" s="226"/>
      <c r="M393" s="226"/>
      <c r="N393" s="226"/>
      <c r="O393" s="213" t="e">
        <v>#REF!</v>
      </c>
      <c r="P393" s="213" t="e">
        <v>#REF!</v>
      </c>
      <c r="Q393" s="214"/>
      <c r="T393" s="228">
        <f>VLOOKUP(Table2[[#This Row],[Course Title]],Data!$A$1:$E$56,4,FALSE)</f>
        <v>30</v>
      </c>
      <c r="U393" s="228">
        <f>VLOOKUP(Table2[[#This Row],[Course Title]],Data!$A$1:$E$56,5,FALSE)</f>
        <v>4</v>
      </c>
      <c r="V393" s="228"/>
      <c r="W393" s="218"/>
      <c r="X393" s="228"/>
      <c r="Y393" s="228"/>
      <c r="Z393" s="225"/>
      <c r="AA393" s="241">
        <f ca="1">Table2[[#This Row],[End Date]]+2-TODAY()</f>
        <v>136</v>
      </c>
      <c r="AB393" s="228">
        <f>IF(ISBLANK(#REF!),1,0)</f>
        <v>0</v>
      </c>
      <c r="AC393" s="225">
        <f ca="1">IF(Table2[[#This Row],[Start Date]]&gt;TODAY(),1,)</f>
        <v>1</v>
      </c>
    </row>
    <row r="394" spans="1:29" s="215" customFormat="1">
      <c r="B394" s="250" t="s">
        <v>184</v>
      </c>
      <c r="C394" s="225" t="str">
        <f>VLOOKUP(Table2[[#This Row],[Course Title]],Data!$A$1:$E$56,2,FALSE)</f>
        <v>A-4J-0022</v>
      </c>
      <c r="D394" s="225" t="str">
        <f>VLOOKUP(Table2[[#This Row],[Course Title]],Data!$A$1:$E$56,3,FALSE)</f>
        <v>09ER</v>
      </c>
      <c r="E394" s="250" t="s">
        <v>116</v>
      </c>
      <c r="F394" s="239">
        <v>45530</v>
      </c>
      <c r="G394" s="226">
        <v>45534</v>
      </c>
      <c r="H394" s="226"/>
      <c r="I394" s="244">
        <v>0.54166666666666663</v>
      </c>
      <c r="J394" s="244">
        <v>0.41666666666666669</v>
      </c>
      <c r="K394" s="244">
        <v>0.83333333333333337</v>
      </c>
      <c r="L394" s="244">
        <v>0.75</v>
      </c>
      <c r="M394" s="244">
        <v>0.29166666666666669</v>
      </c>
      <c r="N394" s="244">
        <v>8.3333333333333329E-2</v>
      </c>
      <c r="O394" s="218" t="e">
        <v>#REF!</v>
      </c>
      <c r="P394" s="213" t="e">
        <v>#REF!</v>
      </c>
      <c r="Q394" s="218"/>
      <c r="T394" s="228">
        <f>VLOOKUP(Table2[[#This Row],[Course Title]],Data!$A$1:$E$56,4,FALSE)</f>
        <v>45</v>
      </c>
      <c r="U394" s="228">
        <f>VLOOKUP(Table2[[#This Row],[Course Title]],Data!$A$1:$E$56,5,FALSE)</f>
        <v>5</v>
      </c>
      <c r="V394" s="228"/>
      <c r="W394" s="218"/>
      <c r="X394" s="228"/>
      <c r="Y394" s="228"/>
      <c r="Z394" s="225"/>
      <c r="AA394" s="241">
        <f ca="1">Table2[[#This Row],[End Date]]+2-TODAY()</f>
        <v>137</v>
      </c>
      <c r="AB394" s="228">
        <f>IF(ISBLANK(#REF!),1,0)</f>
        <v>0</v>
      </c>
      <c r="AC394" s="225">
        <f ca="1">IF(Table2[[#This Row],[Start Date]]&gt;TODAY(),1,)</f>
        <v>1</v>
      </c>
    </row>
    <row r="395" spans="1:29" s="215" customFormat="1">
      <c r="B395" s="250" t="s">
        <v>215</v>
      </c>
      <c r="C395" s="225" t="str">
        <f>VLOOKUP(Table2[[#This Row],[Course Title]],Data!$A$1:$E$56,2,FALSE)</f>
        <v>A-493-0665</v>
      </c>
      <c r="D395" s="225" t="str">
        <f>VLOOKUP(Table2[[#This Row],[Course Title]],Data!$A$1:$E$56,3,FALSE)</f>
        <v>10KW</v>
      </c>
      <c r="E395" s="270" t="s">
        <v>116</v>
      </c>
      <c r="F395" s="226">
        <v>45530</v>
      </c>
      <c r="G395" s="226">
        <v>45534</v>
      </c>
      <c r="H395" s="226"/>
      <c r="I395" s="244">
        <v>0.54166666666666663</v>
      </c>
      <c r="J395" s="244">
        <v>0.41666666666666669</v>
      </c>
      <c r="K395" s="244">
        <v>0.83333333333333337</v>
      </c>
      <c r="L395" s="244">
        <v>0.75</v>
      </c>
      <c r="M395" s="244">
        <v>0.29166666666666669</v>
      </c>
      <c r="N395" s="244">
        <v>8.3333333333333329E-2</v>
      </c>
      <c r="O395" s="218" t="e">
        <v>#REF!</v>
      </c>
      <c r="P395" s="213" t="e">
        <v>#REF!</v>
      </c>
      <c r="Q395" s="218"/>
      <c r="T395" s="228">
        <f>VLOOKUP(Table2[[#This Row],[Course Title]],Data!$A$1:$E$56,4,FALSE)</f>
        <v>45</v>
      </c>
      <c r="U395" s="228">
        <f>VLOOKUP(Table2[[#This Row],[Course Title]],Data!$A$1:$E$56,5,FALSE)</f>
        <v>5</v>
      </c>
      <c r="V395" s="228"/>
      <c r="W395" s="218"/>
      <c r="X395" s="228"/>
      <c r="Y395" s="228"/>
      <c r="Z395" s="225"/>
      <c r="AA395" s="241">
        <f ca="1">Table2[[#This Row],[End Date]]+2-TODAY()</f>
        <v>137</v>
      </c>
      <c r="AB395" s="228">
        <f>IF(ISBLANK(#REF!),1,0)</f>
        <v>0</v>
      </c>
      <c r="AC395" s="225">
        <f ca="1">IF(Table2[[#This Row],[Start Date]]&gt;TODAY(),1,)</f>
        <v>1</v>
      </c>
    </row>
    <row r="396" spans="1:29" s="215" customFormat="1">
      <c r="B396" s="250" t="s">
        <v>26</v>
      </c>
      <c r="C396" s="225" t="str">
        <f>VLOOKUP(Table2[[#This Row],[Course Title]],Data!$A$1:$E$56,2,FALSE)</f>
        <v>A-493-2301</v>
      </c>
      <c r="D396" s="225" t="str">
        <f>VLOOKUP(Table2[[#This Row],[Course Title]],Data!$A$1:$E$56,3,FALSE)</f>
        <v>05ZD</v>
      </c>
      <c r="E396" s="271" t="s">
        <v>117</v>
      </c>
      <c r="F396" s="226">
        <v>45530</v>
      </c>
      <c r="G396" s="226">
        <v>45530</v>
      </c>
      <c r="H396" s="227">
        <v>0.33333333333333331</v>
      </c>
      <c r="I396" s="227"/>
      <c r="J396" s="226"/>
      <c r="K396" s="226"/>
      <c r="L396" s="226"/>
      <c r="M396" s="226"/>
      <c r="N396" s="226"/>
      <c r="O396" s="218" t="e">
        <v>#REF!</v>
      </c>
      <c r="P396" s="213" t="e">
        <v>#REF!</v>
      </c>
      <c r="Q396" s="218"/>
      <c r="T396" s="228">
        <f>VLOOKUP(Table2[[#This Row],[Course Title]],Data!$A$1:$E$56,4,FALSE)</f>
        <v>30</v>
      </c>
      <c r="U396" s="228">
        <f>VLOOKUP(Table2[[#This Row],[Course Title]],Data!$A$1:$E$56,5,FALSE)</f>
        <v>1</v>
      </c>
      <c r="V396" s="228"/>
      <c r="W396" s="218"/>
      <c r="X396" s="228"/>
      <c r="Y396" s="228"/>
      <c r="Z396" s="225"/>
      <c r="AA396" s="241">
        <f ca="1">Table2[[#This Row],[End Date]]+2-TODAY()</f>
        <v>133</v>
      </c>
      <c r="AB396" s="228">
        <f>IF(ISBLANK(#REF!),1,0)</f>
        <v>0</v>
      </c>
      <c r="AC396" s="225">
        <f ca="1">IF(Table2[[#This Row],[Start Date]]&gt;TODAY(),1,)</f>
        <v>1</v>
      </c>
    </row>
    <row r="397" spans="1:29" s="215" customFormat="1">
      <c r="A397" s="224"/>
      <c r="B397" s="224" t="s">
        <v>270</v>
      </c>
      <c r="C397" s="225" t="str">
        <f>VLOOKUP(Table2[[#This Row],[Course Title]],Data!$A$1:$E$56,2,FALSE)</f>
        <v>A-493-0335</v>
      </c>
      <c r="D397" s="225" t="str">
        <f>VLOOKUP(Table2[[#This Row],[Course Title]],Data!$A$1:$E$56,3,FALSE)</f>
        <v>09ND</v>
      </c>
      <c r="E397" s="270" t="s">
        <v>116</v>
      </c>
      <c r="F397" s="226">
        <v>45530</v>
      </c>
      <c r="G397" s="226">
        <v>45533</v>
      </c>
      <c r="H397" s="226"/>
      <c r="I397" s="244">
        <v>0.5</v>
      </c>
      <c r="J397" s="244">
        <v>0.375</v>
      </c>
      <c r="K397" s="244">
        <v>0.79166666666666663</v>
      </c>
      <c r="L397" s="244">
        <v>0.70833333333333337</v>
      </c>
      <c r="M397" s="244">
        <v>0.25</v>
      </c>
      <c r="N397" s="244">
        <v>4.1666666666666664E-2</v>
      </c>
      <c r="O397" s="213" t="e">
        <v>#REF!</v>
      </c>
      <c r="P397" s="213" t="e">
        <v>#REF!</v>
      </c>
      <c r="Q397" s="214"/>
      <c r="T397" s="228">
        <f>VLOOKUP(Table2[[#This Row],[Course Title]],Data!$A$1:$E$56,4,FALSE)</f>
        <v>30</v>
      </c>
      <c r="U397" s="228">
        <f>VLOOKUP(Table2[[#This Row],[Course Title]],Data!$A$1:$E$56,5,FALSE)</f>
        <v>4</v>
      </c>
      <c r="V397" s="228"/>
      <c r="W397" s="218"/>
      <c r="X397" s="228"/>
      <c r="Y397" s="228"/>
      <c r="Z397" s="225"/>
      <c r="AA397" s="241">
        <f ca="1">Table2[[#This Row],[End Date]]+2-TODAY()</f>
        <v>136</v>
      </c>
      <c r="AB397" s="228">
        <f>IF(ISBLANK(#REF!),1,0)</f>
        <v>0</v>
      </c>
      <c r="AC397" s="225">
        <f ca="1">IF(Table2[[#This Row],[Start Date]]&gt;TODAY(),1,)</f>
        <v>1</v>
      </c>
    </row>
    <row r="398" spans="1:29" s="215" customFormat="1">
      <c r="B398" s="224" t="s">
        <v>276</v>
      </c>
      <c r="C398" s="225" t="str">
        <f>VLOOKUP(Table2[[#This Row],[Course Title]],Data!$A$1:$E$56,2,FALSE)</f>
        <v>A-493-0550</v>
      </c>
      <c r="D398" s="225" t="str">
        <f>VLOOKUP(Table2[[#This Row],[Course Title]],Data!$A$1:$E$56,3,FALSE)</f>
        <v>09K5</v>
      </c>
      <c r="E398" s="270" t="s">
        <v>116</v>
      </c>
      <c r="F398" s="226">
        <v>45530</v>
      </c>
      <c r="G398" s="226">
        <v>45534</v>
      </c>
      <c r="H398" s="226"/>
      <c r="I398" s="244">
        <v>0.29166666666666669</v>
      </c>
      <c r="J398" s="244">
        <v>0.16666666666666666</v>
      </c>
      <c r="K398" s="244">
        <v>0.58333333333333337</v>
      </c>
      <c r="L398" s="244">
        <v>0.5</v>
      </c>
      <c r="M398" s="244">
        <v>4.1666666666666664E-2</v>
      </c>
      <c r="N398" s="244">
        <v>0.83333333333333337</v>
      </c>
      <c r="O398" s="213" t="e">
        <v>#REF!</v>
      </c>
      <c r="P398" s="213" t="e">
        <v>#REF!</v>
      </c>
      <c r="Q398" s="214"/>
      <c r="T398" s="228">
        <f>VLOOKUP(Table2[[#This Row],[Course Title]],Data!$A$1:$E$56,4,FALSE)</f>
        <v>45</v>
      </c>
      <c r="U398" s="228">
        <f>VLOOKUP(Table2[[#This Row],[Course Title]],Data!$A$1:$E$56,5,FALSE)</f>
        <v>4</v>
      </c>
      <c r="V398" s="228"/>
      <c r="W398" s="218"/>
      <c r="X398" s="228"/>
      <c r="Y398" s="228"/>
      <c r="Z398" s="225"/>
      <c r="AA398" s="241">
        <f ca="1">Table2[[#This Row],[End Date]]+2-TODAY()</f>
        <v>137</v>
      </c>
      <c r="AB398" s="228">
        <f>IF(ISBLANK(#REF!),1,0)</f>
        <v>0</v>
      </c>
      <c r="AC398" s="225">
        <f ca="1">IF(Table2[[#This Row],[Start Date]]&gt;TODAY(),1,)</f>
        <v>1</v>
      </c>
    </row>
    <row r="399" spans="1:29" s="215" customFormat="1">
      <c r="B399" s="250" t="s">
        <v>287</v>
      </c>
      <c r="C399" s="225" t="str">
        <f>VLOOKUP(Table2[[#This Row],[Course Title]],Data!$A$1:$E$56,2,FALSE)</f>
        <v>A-493-0078</v>
      </c>
      <c r="D399" s="225">
        <f>VLOOKUP(Table2[[#This Row],[Course Title]],Data!$A$1:$E$56,3,FALSE)</f>
        <v>1228</v>
      </c>
      <c r="E399" s="270" t="s">
        <v>116</v>
      </c>
      <c r="F399" s="226">
        <v>45530</v>
      </c>
      <c r="G399" s="226">
        <v>45534</v>
      </c>
      <c r="H399" s="226"/>
      <c r="I399" s="244">
        <v>0.54166666666666663</v>
      </c>
      <c r="J399" s="244">
        <v>0.41666666666666669</v>
      </c>
      <c r="K399" s="244">
        <v>0.83333333333333337</v>
      </c>
      <c r="L399" s="244">
        <v>0.75</v>
      </c>
      <c r="M399" s="244">
        <v>0.29166666666666669</v>
      </c>
      <c r="N399" s="244">
        <v>8.3333333333333329E-2</v>
      </c>
      <c r="O399" s="213" t="e">
        <v>#REF!</v>
      </c>
      <c r="P399" s="213" t="e">
        <v>#REF!</v>
      </c>
      <c r="Q399" s="214"/>
      <c r="T399" s="228">
        <f>VLOOKUP(Table2[[#This Row],[Course Title]],Data!$A$1:$E$56,4,FALSE)</f>
        <v>45</v>
      </c>
      <c r="U399" s="228">
        <f>VLOOKUP(Table2[[#This Row],[Course Title]],Data!$A$1:$E$56,5,FALSE)</f>
        <v>5</v>
      </c>
      <c r="V399" s="228"/>
      <c r="W399" s="218"/>
      <c r="X399" s="228"/>
      <c r="Y399" s="228"/>
      <c r="Z399" s="225"/>
      <c r="AA399" s="241">
        <f ca="1">Table2[[#This Row],[End Date]]+2-TODAY()</f>
        <v>137</v>
      </c>
      <c r="AB399" s="228">
        <f>IF(ISBLANK(#REF!),1,0)</f>
        <v>0</v>
      </c>
      <c r="AC399" s="225">
        <f ca="1">IF(Table2[[#This Row],[Start Date]]&gt;TODAY(),1,)</f>
        <v>1</v>
      </c>
    </row>
    <row r="400" spans="1:29" s="215" customFormat="1">
      <c r="B400" s="252" t="s">
        <v>23</v>
      </c>
      <c r="C400" s="225" t="str">
        <f>VLOOKUP(Table2[[#This Row],[Course Title]],Data!$A$1:$E$56,2,FALSE)</f>
        <v>A-493-0077</v>
      </c>
      <c r="D400" s="225" t="str">
        <f>VLOOKUP(Table2[[#This Row],[Course Title]],Data!$A$1:$E$56,3,FALSE)</f>
        <v>0381</v>
      </c>
      <c r="E400" s="271" t="s">
        <v>147</v>
      </c>
      <c r="F400" s="239">
        <v>45530</v>
      </c>
      <c r="G400" s="239">
        <v>45532</v>
      </c>
      <c r="H400" s="244">
        <v>0.33333333333333331</v>
      </c>
      <c r="I400" s="244"/>
      <c r="J400" s="226"/>
      <c r="K400" s="226"/>
      <c r="L400" s="226"/>
      <c r="M400" s="226"/>
      <c r="N400" s="226"/>
      <c r="O400" s="218" t="e">
        <v>#REF!</v>
      </c>
      <c r="P400" s="213" t="e">
        <v>#REF!</v>
      </c>
      <c r="Q400" s="218"/>
      <c r="T400" s="228">
        <f>VLOOKUP(Table2[[#This Row],[Course Title]],Data!$A$1:$E$56,4,FALSE)</f>
        <v>25</v>
      </c>
      <c r="U400" s="228">
        <f>VLOOKUP(Table2[[#This Row],[Course Title]],Data!$A$1:$E$56,5,FALSE)</f>
        <v>3</v>
      </c>
      <c r="V400" s="228"/>
      <c r="W400" s="218"/>
      <c r="X400" s="228"/>
      <c r="Y400" s="228"/>
      <c r="Z400" s="225"/>
      <c r="AA400" s="241">
        <f ca="1">Table2[[#This Row],[End Date]]+2-TODAY()</f>
        <v>135</v>
      </c>
      <c r="AB400" s="228">
        <f>IF(ISBLANK(#REF!),1,0)</f>
        <v>0</v>
      </c>
      <c r="AC400" s="225">
        <f ca="1">IF(Table2[[#This Row],[Start Date]]&gt;TODAY(),1,)</f>
        <v>1</v>
      </c>
    </row>
    <row r="401" spans="1:29" s="215" customFormat="1">
      <c r="B401" s="224" t="s">
        <v>35</v>
      </c>
      <c r="C401" s="225" t="str">
        <f>VLOOKUP(Table2[[#This Row],[Course Title]],Data!$A$1:$E$56,2,FALSE)</f>
        <v>A-493-2501</v>
      </c>
      <c r="D401" s="225" t="str">
        <f>VLOOKUP(Table2[[#This Row],[Course Title]],Data!$A$1:$E$56,3,FALSE)</f>
        <v>05ZE</v>
      </c>
      <c r="E401" s="224" t="s">
        <v>117</v>
      </c>
      <c r="F401" s="226">
        <v>45531</v>
      </c>
      <c r="G401" s="226">
        <v>45531</v>
      </c>
      <c r="H401" s="227">
        <v>0.33333333333333331</v>
      </c>
      <c r="I401" s="227"/>
      <c r="J401" s="226"/>
      <c r="K401" s="226"/>
      <c r="L401" s="272"/>
      <c r="M401" s="226"/>
      <c r="N401" s="226"/>
      <c r="O401" s="218"/>
      <c r="P401" s="213"/>
      <c r="Q401" s="218"/>
      <c r="T401" s="218">
        <v>30</v>
      </c>
      <c r="U401" s="213">
        <v>1</v>
      </c>
      <c r="V401" s="218"/>
      <c r="W401" s="218"/>
      <c r="X401" s="228"/>
      <c r="Y401" s="228"/>
      <c r="Z401" s="225"/>
      <c r="AA401" s="241">
        <f ca="1">Table2[[#This Row],[End Date]]+2-TODAY()</f>
        <v>134</v>
      </c>
      <c r="AB401" s="228">
        <f>IF(ISBLANK(#REF!),1,0)</f>
        <v>0</v>
      </c>
      <c r="AC401" s="225">
        <f ca="1">IF(Table2[[#This Row],[Start Date]]&gt;TODAY(),1,)</f>
        <v>1</v>
      </c>
    </row>
    <row r="402" spans="1:29" s="215" customFormat="1">
      <c r="B402" s="224" t="s">
        <v>19</v>
      </c>
      <c r="C402" s="225" t="str">
        <f>VLOOKUP(Table2[[#This Row],[Course Title]],Data!$A$1:$E$56,2,FALSE)</f>
        <v>A-493-0099</v>
      </c>
      <c r="D402" s="225" t="str">
        <f>VLOOKUP(Table2[[#This Row],[Course Title]],Data!$A$1:$E$56,3,FALSE)</f>
        <v>12JW</v>
      </c>
      <c r="E402" s="270" t="s">
        <v>116</v>
      </c>
      <c r="F402" s="226">
        <v>45531</v>
      </c>
      <c r="G402" s="226">
        <v>45533</v>
      </c>
      <c r="H402" s="226"/>
      <c r="I402" s="244">
        <v>0.33333333333333331</v>
      </c>
      <c r="J402" s="244">
        <v>0.20833333333333334</v>
      </c>
      <c r="K402" s="244">
        <v>0.625</v>
      </c>
      <c r="L402" s="244">
        <v>0.54166666666666663</v>
      </c>
      <c r="M402" s="244">
        <v>8.3333333333333329E-2</v>
      </c>
      <c r="N402" s="244">
        <v>0.875</v>
      </c>
      <c r="O402" s="213" t="e">
        <v>#REF!</v>
      </c>
      <c r="P402" s="213" t="e">
        <v>#REF!</v>
      </c>
      <c r="Q402" s="214"/>
      <c r="T402" s="228">
        <f>VLOOKUP(Table2[[#This Row],[Course Title]],Data!$A$1:$E$56,4,FALSE)</f>
        <v>45</v>
      </c>
      <c r="U402" s="228">
        <f>VLOOKUP(Table2[[#This Row],[Course Title]],Data!$A$1:$E$56,5,FALSE)</f>
        <v>3</v>
      </c>
      <c r="V402" s="228"/>
      <c r="W402" s="218"/>
      <c r="X402" s="228"/>
      <c r="Y402" s="228"/>
      <c r="Z402" s="225"/>
      <c r="AA402" s="241">
        <f ca="1">Table2[[#This Row],[End Date]]+2-TODAY()</f>
        <v>136</v>
      </c>
      <c r="AB402" s="228">
        <f>IF(ISBLANK(#REF!),1,0)</f>
        <v>0</v>
      </c>
      <c r="AC402" s="225">
        <f ca="1">IF(Table2[[#This Row],[Start Date]]&gt;TODAY(),1,)</f>
        <v>1</v>
      </c>
    </row>
    <row r="403" spans="1:29" s="215" customFormat="1">
      <c r="A403" s="224"/>
      <c r="B403" s="224" t="s">
        <v>284</v>
      </c>
      <c r="C403" s="225" t="str">
        <f>VLOOKUP(Table2[[#This Row],[Course Title]],Data!$A$1:$E$56,2,FALSE)</f>
        <v>A-493-0073</v>
      </c>
      <c r="D403" s="225" t="str">
        <f>VLOOKUP(Table2[[#This Row],[Course Title]],Data!$A$1:$E$56,3,FALSE)</f>
        <v>714S</v>
      </c>
      <c r="E403" s="270" t="s">
        <v>116</v>
      </c>
      <c r="F403" s="226">
        <v>45531</v>
      </c>
      <c r="G403" s="226">
        <v>45534</v>
      </c>
      <c r="H403" s="226"/>
      <c r="I403" s="244">
        <v>0.54166666666666663</v>
      </c>
      <c r="J403" s="244">
        <v>0.41666666666666669</v>
      </c>
      <c r="K403" s="244">
        <v>0.83333333333333337</v>
      </c>
      <c r="L403" s="244">
        <v>0.75</v>
      </c>
      <c r="M403" s="244">
        <v>0.29166666666666669</v>
      </c>
      <c r="N403" s="244">
        <v>8.3333333333333329E-2</v>
      </c>
      <c r="O403" s="213" t="e">
        <v>#REF!</v>
      </c>
      <c r="P403" s="213" t="e">
        <v>#REF!</v>
      </c>
      <c r="Q403" s="214"/>
      <c r="T403" s="228">
        <f>VLOOKUP(Table2[[#This Row],[Course Title]],Data!$A$1:$E$56,4,FALSE)</f>
        <v>30</v>
      </c>
      <c r="U403" s="228">
        <f>VLOOKUP(Table2[[#This Row],[Course Title]],Data!$A$1:$E$56,5,FALSE)</f>
        <v>4</v>
      </c>
      <c r="V403" s="228"/>
      <c r="W403" s="218"/>
      <c r="X403" s="228"/>
      <c r="Y403" s="228"/>
      <c r="Z403" s="225"/>
      <c r="AA403" s="241">
        <f ca="1">Table2[[#This Row],[End Date]]+2-TODAY()</f>
        <v>137</v>
      </c>
      <c r="AB403" s="228">
        <f>IF(ISBLANK(#REF!),1,0)</f>
        <v>0</v>
      </c>
      <c r="AC403" s="225">
        <f ca="1">IF(Table2[[#This Row],[Start Date]]&gt;TODAY(),1,)</f>
        <v>1</v>
      </c>
    </row>
    <row r="404" spans="1:29" s="215" customFormat="1">
      <c r="B404" s="224" t="s">
        <v>26</v>
      </c>
      <c r="C404" s="225" t="str">
        <f>VLOOKUP(Table2[[#This Row],[Course Title]],Data!$A$1:$E$56,2,FALSE)</f>
        <v>A-493-2301</v>
      </c>
      <c r="D404" s="225" t="str">
        <f>VLOOKUP(Table2[[#This Row],[Course Title]],Data!$A$1:$E$56,3,FALSE)</f>
        <v>05ZD</v>
      </c>
      <c r="E404" s="270" t="s">
        <v>111</v>
      </c>
      <c r="F404" s="226">
        <v>45532</v>
      </c>
      <c r="G404" s="226">
        <v>45532</v>
      </c>
      <c r="H404" s="227">
        <v>0.33333333333333331</v>
      </c>
      <c r="I404" s="227"/>
      <c r="J404" s="226"/>
      <c r="K404" s="226"/>
      <c r="L404" s="226"/>
      <c r="M404" s="226"/>
      <c r="N404" s="226"/>
      <c r="O404" s="218" t="e">
        <v>#REF!</v>
      </c>
      <c r="P404" s="213" t="e">
        <v>#REF!</v>
      </c>
      <c r="Q404" s="218"/>
      <c r="T404" s="228">
        <f>VLOOKUP(Table2[[#This Row],[Course Title]],Data!$A$1:$E$56,4,FALSE)</f>
        <v>30</v>
      </c>
      <c r="U404" s="228">
        <f>VLOOKUP(Table2[[#This Row],[Course Title]],Data!$A$1:$E$56,5,FALSE)</f>
        <v>1</v>
      </c>
      <c r="V404" s="228"/>
      <c r="W404" s="218"/>
      <c r="X404" s="228"/>
      <c r="Y404" s="228"/>
      <c r="Z404" s="228"/>
      <c r="AA404" s="229">
        <f ca="1">Table2[[#This Row],[End Date]]+2-TODAY()</f>
        <v>135</v>
      </c>
      <c r="AB404" s="228">
        <f>IF(ISBLANK(#REF!),1,0)</f>
        <v>0</v>
      </c>
      <c r="AC404" s="228">
        <f ca="1">IF(Table2[[#This Row],[Start Date]]&gt;TODAY(),1,)</f>
        <v>1</v>
      </c>
    </row>
    <row r="405" spans="1:29" s="215" customFormat="1">
      <c r="B405" s="224" t="s">
        <v>35</v>
      </c>
      <c r="C405" s="225" t="str">
        <f>VLOOKUP(Table2[[#This Row],[Course Title]],Data!$A$1:$E$56,2,FALSE)</f>
        <v>A-493-2501</v>
      </c>
      <c r="D405" s="225" t="str">
        <f>VLOOKUP(Table2[[#This Row],[Course Title]],Data!$A$1:$E$56,3,FALSE)</f>
        <v>05ZE</v>
      </c>
      <c r="E405" s="252" t="s">
        <v>251</v>
      </c>
      <c r="F405" s="226">
        <v>45533</v>
      </c>
      <c r="G405" s="226">
        <v>45533</v>
      </c>
      <c r="H405" s="227">
        <v>0.33333333333333331</v>
      </c>
      <c r="I405" s="227"/>
      <c r="J405" s="226"/>
      <c r="K405" s="226"/>
      <c r="L405" s="226"/>
      <c r="M405" s="226"/>
      <c r="N405" s="226"/>
      <c r="O405" s="218" t="e">
        <v>#REF!</v>
      </c>
      <c r="P405" s="213" t="e">
        <v>#REF!</v>
      </c>
      <c r="Q405" s="218"/>
      <c r="T405" s="228">
        <f>VLOOKUP(Table2[[#This Row],[Course Title]],Data!$A$1:$E$56,4,FALSE)</f>
        <v>30</v>
      </c>
      <c r="U405" s="228">
        <f>VLOOKUP(Table2[[#This Row],[Course Title]],Data!$A$1:$E$56,5,FALSE)</f>
        <v>1</v>
      </c>
      <c r="V405" s="228"/>
      <c r="W405" s="218"/>
      <c r="X405" s="228"/>
      <c r="Y405" s="228"/>
      <c r="Z405" s="225"/>
      <c r="AA405" s="241">
        <f ca="1">Table2[[#This Row],[End Date]]+2-TODAY()</f>
        <v>136</v>
      </c>
      <c r="AB405" s="228">
        <f>IF(ISBLANK(#REF!),1,0)</f>
        <v>0</v>
      </c>
      <c r="AC405" s="225">
        <f ca="1">IF(Table2[[#This Row],[Start Date]]&gt;TODAY(),1,)</f>
        <v>1</v>
      </c>
    </row>
    <row r="406" spans="1:29" s="215" customFormat="1">
      <c r="B406" s="224" t="s">
        <v>24</v>
      </c>
      <c r="C406" s="225" t="str">
        <f>VLOOKUP(Table2[[#This Row],[Course Title]],Data!$A$1:$E$56,2,FALSE)</f>
        <v>A-493-0083</v>
      </c>
      <c r="D406" s="225" t="str">
        <f>VLOOKUP(Table2[[#This Row],[Course Title]],Data!$A$1:$E$56,3,FALSE)</f>
        <v>339E</v>
      </c>
      <c r="E406" s="271" t="s">
        <v>147</v>
      </c>
      <c r="F406" s="239">
        <v>45533</v>
      </c>
      <c r="G406" s="239">
        <v>45533</v>
      </c>
      <c r="H406" s="244">
        <v>0.33333333333333331</v>
      </c>
      <c r="I406" s="244"/>
      <c r="J406" s="226"/>
      <c r="K406" s="226"/>
      <c r="L406" s="226"/>
      <c r="M406" s="226"/>
      <c r="N406" s="226"/>
      <c r="O406" s="218" t="e">
        <v>#REF!</v>
      </c>
      <c r="P406" s="213" t="e">
        <v>#REF!</v>
      </c>
      <c r="Q406" s="218"/>
      <c r="T406" s="228">
        <f>VLOOKUP(Table2[[#This Row],[Course Title]],Data!$A$1:$E$56,4,FALSE)</f>
        <v>30</v>
      </c>
      <c r="U406" s="228">
        <f>VLOOKUP(Table2[[#This Row],[Course Title]],Data!$A$1:$E$56,5,FALSE)</f>
        <v>1</v>
      </c>
      <c r="V406" s="228"/>
      <c r="W406" s="218"/>
      <c r="X406" s="228"/>
      <c r="Y406" s="228"/>
      <c r="Z406" s="228"/>
      <c r="AA406" s="229">
        <f ca="1">Table2[[#This Row],[End Date]]+2-TODAY()</f>
        <v>136</v>
      </c>
      <c r="AB406" s="228">
        <f>IF(ISBLANK(#REF!),1,0)</f>
        <v>0</v>
      </c>
      <c r="AC406" s="228">
        <f ca="1">IF(Table2[[#This Row],[Start Date]]&gt;TODAY(),1,)</f>
        <v>1</v>
      </c>
    </row>
    <row r="407" spans="1:29" s="215" customFormat="1">
      <c r="B407" s="250" t="s">
        <v>35</v>
      </c>
      <c r="C407" s="225" t="str">
        <f>VLOOKUP(Table2[[#This Row],[Course Title]],Data!$A$1:$E$56,2,FALSE)</f>
        <v>A-493-2501</v>
      </c>
      <c r="D407" s="225" t="str">
        <f>VLOOKUP(Table2[[#This Row],[Course Title]],Data!$A$1:$E$56,3,FALSE)</f>
        <v>05ZE</v>
      </c>
      <c r="E407" s="271" t="s">
        <v>150</v>
      </c>
      <c r="F407" s="226">
        <v>45533</v>
      </c>
      <c r="G407" s="226">
        <v>45533</v>
      </c>
      <c r="H407" s="227">
        <v>0.33333333333333331</v>
      </c>
      <c r="I407" s="227"/>
      <c r="J407" s="226"/>
      <c r="K407" s="226"/>
      <c r="L407" s="226"/>
      <c r="M407" s="226"/>
      <c r="N407" s="226"/>
      <c r="O407" s="218" t="e">
        <v>#REF!</v>
      </c>
      <c r="P407" s="213" t="e">
        <v>#REF!</v>
      </c>
      <c r="Q407" s="218"/>
      <c r="T407" s="228">
        <f>VLOOKUP(Table2[[#This Row],[Course Title]],Data!$A$1:$E$56,4,FALSE)</f>
        <v>30</v>
      </c>
      <c r="U407" s="228">
        <f>VLOOKUP(Table2[[#This Row],[Course Title]],Data!$A$1:$E$56,5,FALSE)</f>
        <v>1</v>
      </c>
      <c r="V407" s="228"/>
      <c r="W407" s="218"/>
      <c r="X407" s="228"/>
      <c r="Y407" s="228"/>
      <c r="Z407" s="225"/>
      <c r="AA407" s="241">
        <f ca="1">Table2[[#This Row],[End Date]]+2-TODAY()</f>
        <v>136</v>
      </c>
      <c r="AB407" s="228">
        <f>IF(ISBLANK(#REF!),1,0)</f>
        <v>0</v>
      </c>
      <c r="AC407" s="225">
        <f ca="1">IF(Table2[[#This Row],[Start Date]]&gt;TODAY(),1,)</f>
        <v>1</v>
      </c>
    </row>
    <row r="408" spans="1:29" s="215" customFormat="1">
      <c r="A408" s="215" t="s">
        <v>496</v>
      </c>
      <c r="B408" s="224" t="s">
        <v>330</v>
      </c>
      <c r="C408" s="225" t="str">
        <f>VLOOKUP(Table2[[#This Row],[Course Title]],Data!$A$1:$E$56,2,FALSE)</f>
        <v>Holiday</v>
      </c>
      <c r="D408" s="225" t="str">
        <f>VLOOKUP(Table2[[#This Row],[Course Title]],Data!$A$1:$E$56,3,FALSE)</f>
        <v>Holiday</v>
      </c>
      <c r="E408" s="270"/>
      <c r="F408" s="226">
        <v>45537</v>
      </c>
      <c r="G408" s="226">
        <v>45537</v>
      </c>
      <c r="H408" s="227">
        <v>0</v>
      </c>
      <c r="I408" s="227">
        <v>0</v>
      </c>
      <c r="J408" s="227">
        <v>0</v>
      </c>
      <c r="K408" s="227">
        <v>0</v>
      </c>
      <c r="L408" s="227">
        <v>0</v>
      </c>
      <c r="M408" s="227">
        <v>0</v>
      </c>
      <c r="N408" s="227">
        <v>0</v>
      </c>
      <c r="O408" s="213" t="e">
        <v>#REF!</v>
      </c>
      <c r="P408" s="213" t="e">
        <v>#REF!</v>
      </c>
      <c r="Q408" s="214">
        <v>0</v>
      </c>
      <c r="R408" s="215">
        <v>0</v>
      </c>
      <c r="S408" s="215">
        <v>0</v>
      </c>
      <c r="T408" s="228">
        <f>VLOOKUP(Table2[[#This Row],[Course Title]],Data!$A$1:$E$56,4,FALSE)</f>
        <v>0</v>
      </c>
      <c r="U408" s="228">
        <f>VLOOKUP(Table2[[#This Row],[Course Title]],Data!$A$1:$E$56,5,FALSE)</f>
        <v>0</v>
      </c>
      <c r="V408" s="228">
        <v>0</v>
      </c>
      <c r="W408" s="218">
        <v>0</v>
      </c>
      <c r="X408" s="228">
        <v>0</v>
      </c>
      <c r="Y408" s="228">
        <v>0</v>
      </c>
      <c r="Z408" s="228">
        <v>0</v>
      </c>
      <c r="AA408" s="241">
        <f ca="1">Table2[[#This Row],[End Date]]+2-TODAY()</f>
        <v>140</v>
      </c>
      <c r="AB408" s="228">
        <f>IF(ISBLANK(#REF!),1,0)</f>
        <v>0</v>
      </c>
      <c r="AC408" s="225">
        <f ca="1">IF(Table2[[#This Row],[Start Date]]&gt;TODAY(),1,)</f>
        <v>1</v>
      </c>
    </row>
    <row r="409" spans="1:29" s="215" customFormat="1">
      <c r="B409" s="224" t="s">
        <v>299</v>
      </c>
      <c r="C409" s="225" t="str">
        <f>VLOOKUP(Table2[[#This Row],[Course Title]],Data!$A$1:$E$56,2,FALSE)</f>
        <v>A-570-0100</v>
      </c>
      <c r="D409" s="225" t="str">
        <f>VLOOKUP(Table2[[#This Row],[Course Title]],Data!$A$1:$E$56,3,FALSE)</f>
        <v>18B7</v>
      </c>
      <c r="E409" s="224" t="s">
        <v>116</v>
      </c>
      <c r="F409" s="226">
        <v>45538</v>
      </c>
      <c r="G409" s="226">
        <v>45541</v>
      </c>
      <c r="H409" s="226"/>
      <c r="I409" s="244">
        <v>0.79166666666666663</v>
      </c>
      <c r="J409" s="244">
        <v>0.66666666666666663</v>
      </c>
      <c r="K409" s="244">
        <v>8.3333333333333329E-2</v>
      </c>
      <c r="L409" s="244">
        <v>0</v>
      </c>
      <c r="M409" s="244">
        <v>0.54166666666666663</v>
      </c>
      <c r="N409" s="244">
        <v>0.33333333333333331</v>
      </c>
      <c r="O409" s="218" t="e">
        <v>#REF!</v>
      </c>
      <c r="P409" s="213" t="e">
        <v>#REF!</v>
      </c>
      <c r="Q409" s="218"/>
      <c r="T409" s="228">
        <f>VLOOKUP(Table2[[#This Row],[Course Title]],Data!$A$1:$E$56,4,FALSE)</f>
        <v>30</v>
      </c>
      <c r="U409" s="228">
        <f>VLOOKUP(Table2[[#This Row],[Course Title]],Data!$A$1:$E$56,5,FALSE)</f>
        <v>4</v>
      </c>
      <c r="V409" s="228"/>
      <c r="W409" s="218"/>
      <c r="X409" s="228"/>
      <c r="Y409" s="228"/>
      <c r="Z409" s="225"/>
      <c r="AA409" s="241">
        <f ca="1">Table2[[#This Row],[End Date]]+2-TODAY()</f>
        <v>144</v>
      </c>
      <c r="AB409" s="228">
        <f>IF(ISBLANK(#REF!),1,0)</f>
        <v>0</v>
      </c>
      <c r="AC409" s="225">
        <f ca="1">IF(Table2[[#This Row],[Start Date]]&gt;TODAY(),1,)</f>
        <v>1</v>
      </c>
    </row>
    <row r="410" spans="1:29" s="215" customFormat="1">
      <c r="B410" s="224" t="s">
        <v>18</v>
      </c>
      <c r="C410" s="225" t="str">
        <f>VLOOKUP(Table2[[#This Row],[Course Title]],Data!$A$1:$E$56,2,FALSE)</f>
        <v>A-493-0013</v>
      </c>
      <c r="D410" s="225">
        <f>VLOOKUP(Table2[[#This Row],[Course Title]],Data!$A$1:$E$56,3,FALSE)</f>
        <v>3683</v>
      </c>
      <c r="E410" s="224" t="s">
        <v>165</v>
      </c>
      <c r="F410" s="226">
        <v>45539</v>
      </c>
      <c r="G410" s="226">
        <v>45541</v>
      </c>
      <c r="H410" s="227">
        <v>0.33333333333333331</v>
      </c>
      <c r="I410" s="227"/>
      <c r="J410" s="227"/>
      <c r="K410" s="227"/>
      <c r="L410" s="227"/>
      <c r="M410" s="227"/>
      <c r="N410" s="226"/>
      <c r="O410" s="213" t="e">
        <v>#REF!</v>
      </c>
      <c r="P410" s="213" t="e">
        <v>#REF!</v>
      </c>
      <c r="Q410" s="214"/>
      <c r="T410" s="228">
        <f>VLOOKUP(Table2[[#This Row],[Course Title]],Data!$A$1:$E$56,4,FALSE)</f>
        <v>40</v>
      </c>
      <c r="U410" s="228">
        <v>3</v>
      </c>
      <c r="V410" s="228"/>
      <c r="W410" s="218"/>
      <c r="X410" s="228"/>
      <c r="Y410" s="228"/>
      <c r="Z410" s="225"/>
      <c r="AA410" s="241">
        <f ca="1">Table2[[#This Row],[End Date]]+2-TODAY()</f>
        <v>144</v>
      </c>
      <c r="AB410" s="228">
        <f>IF(ISBLANK(#REF!),1,0)</f>
        <v>0</v>
      </c>
      <c r="AC410" s="225">
        <f ca="1">IF(Table2[[#This Row],[Start Date]]&gt;TODAY(),1,)</f>
        <v>1</v>
      </c>
    </row>
    <row r="411" spans="1:29" s="215" customFormat="1">
      <c r="B411" s="250" t="s">
        <v>28</v>
      </c>
      <c r="C411" s="225" t="str">
        <f>VLOOKUP(Table2[[#This Row],[Course Title]],Data!$A$1:$E$56,2,FALSE)</f>
        <v>A-493-0092</v>
      </c>
      <c r="D411" s="225">
        <f>VLOOKUP(Table2[[#This Row],[Course Title]],Data!$A$1:$E$56,3,FALSE)</f>
        <v>5891</v>
      </c>
      <c r="E411" s="224" t="s">
        <v>104</v>
      </c>
      <c r="F411" s="226">
        <v>45539</v>
      </c>
      <c r="G411" s="226">
        <v>45541</v>
      </c>
      <c r="H411" s="227">
        <v>0.33333333333333331</v>
      </c>
      <c r="I411" s="227"/>
      <c r="J411" s="226"/>
      <c r="K411" s="226"/>
      <c r="L411" s="226"/>
      <c r="M411" s="226"/>
      <c r="N411" s="226"/>
      <c r="O411" s="213" t="e">
        <v>#REF!</v>
      </c>
      <c r="P411" s="213" t="e">
        <v>#REF!</v>
      </c>
      <c r="Q411" s="214"/>
      <c r="T411" s="228">
        <f>VLOOKUP(Table2[[#This Row],[Course Title]],Data!$A$1:$E$56,4,FALSE)</f>
        <v>25</v>
      </c>
      <c r="U411" s="228">
        <f>VLOOKUP(Table2[[#This Row],[Course Title]],Data!$A$1:$E$56,5,FALSE)</f>
        <v>3</v>
      </c>
      <c r="V411" s="228"/>
      <c r="W411" s="218"/>
      <c r="X411" s="228"/>
      <c r="Y411" s="228"/>
      <c r="Z411" s="225"/>
      <c r="AA411" s="241">
        <f ca="1">Table2[[#This Row],[End Date]]+2-TODAY()</f>
        <v>144</v>
      </c>
      <c r="AB411" s="228">
        <f>IF(ISBLANK(#REF!),1,0)</f>
        <v>0</v>
      </c>
      <c r="AC411" s="225">
        <f ca="1">IF(Table2[[#This Row],[Start Date]]&gt;TODAY(),1,)</f>
        <v>1</v>
      </c>
    </row>
    <row r="412" spans="1:29" s="215" customFormat="1">
      <c r="A412" s="232" t="s">
        <v>494</v>
      </c>
      <c r="B412" s="224" t="s">
        <v>18</v>
      </c>
      <c r="C412" s="225" t="str">
        <f>VLOOKUP(Table2[[#This Row],[Course Title]],Data!$A$1:$E$56,2,FALSE)</f>
        <v>A-493-0013</v>
      </c>
      <c r="D412" s="225">
        <f>VLOOKUP(Table2[[#This Row],[Course Title]],Data!$A$1:$E$56,3,FALSE)</f>
        <v>3683</v>
      </c>
      <c r="E412" s="224" t="s">
        <v>213</v>
      </c>
      <c r="F412" s="226">
        <v>45540</v>
      </c>
      <c r="G412" s="226">
        <v>45541</v>
      </c>
      <c r="H412" s="227">
        <v>0.33333333333333331</v>
      </c>
      <c r="I412" s="227"/>
      <c r="J412" s="226"/>
      <c r="K412" s="226"/>
      <c r="L412" s="226"/>
      <c r="M412" s="226"/>
      <c r="N412" s="226"/>
      <c r="O412" s="218"/>
      <c r="P412" s="213"/>
      <c r="Q412" s="218"/>
      <c r="T412" s="218">
        <v>40</v>
      </c>
      <c r="U412" s="213">
        <v>2</v>
      </c>
      <c r="V412" s="218"/>
      <c r="W412" s="218"/>
      <c r="X412" s="228"/>
      <c r="Y412" s="228"/>
      <c r="Z412" s="225"/>
      <c r="AA412" s="241">
        <f ca="1">Table2[[#This Row],[End Date]]+2-TODAY()</f>
        <v>144</v>
      </c>
      <c r="AB412" s="228">
        <f>IF(ISBLANK(#REF!),1,0)</f>
        <v>0</v>
      </c>
      <c r="AC412" s="225">
        <f ca="1">IF(Table2[[#This Row],[Start Date]]&gt;TODAY(),1,)</f>
        <v>1</v>
      </c>
    </row>
    <row r="413" spans="1:29" s="215" customFormat="1">
      <c r="B413" s="224" t="s">
        <v>24</v>
      </c>
      <c r="C413" s="225" t="str">
        <f>VLOOKUP(Table2[[#This Row],[Course Title]],Data!$A$1:$E$56,2,FALSE)</f>
        <v>A-493-0083</v>
      </c>
      <c r="D413" s="225" t="str">
        <f>VLOOKUP(Table2[[#This Row],[Course Title]],Data!$A$1:$E$56,3,FALSE)</f>
        <v>339E</v>
      </c>
      <c r="E413" s="273" t="s">
        <v>116</v>
      </c>
      <c r="F413" s="274">
        <v>45541</v>
      </c>
      <c r="G413" s="274">
        <v>45541</v>
      </c>
      <c r="H413" s="274"/>
      <c r="I413" s="244">
        <v>0.33333333333333331</v>
      </c>
      <c r="J413" s="244">
        <v>0.20833333333333334</v>
      </c>
      <c r="K413" s="244">
        <v>0.625</v>
      </c>
      <c r="L413" s="244">
        <v>0.54166666666666663</v>
      </c>
      <c r="M413" s="244">
        <v>8.3333333333333329E-2</v>
      </c>
      <c r="N413" s="244">
        <v>0.875</v>
      </c>
      <c r="O413" s="218" t="e">
        <v>#REF!</v>
      </c>
      <c r="P413" s="213" t="e">
        <v>#REF!</v>
      </c>
      <c r="Q413" s="218"/>
      <c r="T413" s="228">
        <f>VLOOKUP(Table2[[#This Row],[Course Title]],Data!$A$1:$E$56,4,FALSE)</f>
        <v>30</v>
      </c>
      <c r="U413" s="228">
        <f>VLOOKUP(Table2[[#This Row],[Course Title]],Data!$A$1:$E$56,5,FALSE)</f>
        <v>1</v>
      </c>
      <c r="V413" s="228"/>
      <c r="W413" s="218"/>
      <c r="X413" s="228"/>
      <c r="Y413" s="228"/>
      <c r="Z413" s="225"/>
      <c r="AA413" s="241">
        <f ca="1">Table2[[#This Row],[End Date]]+2-TODAY()</f>
        <v>144</v>
      </c>
      <c r="AB413" s="228">
        <f>IF(ISBLANK(#REF!),1,0)</f>
        <v>0</v>
      </c>
      <c r="AC413" s="225">
        <f ca="1">IF(Table2[[#This Row],[Start Date]]&gt;TODAY(),1,)</f>
        <v>1</v>
      </c>
    </row>
    <row r="414" spans="1:29" s="215" customFormat="1">
      <c r="B414" s="224" t="s">
        <v>38</v>
      </c>
      <c r="C414" s="225" t="str">
        <f>VLOOKUP(Table2[[#This Row],[Course Title]],Data!$A$1:$E$56,2,FALSE)</f>
        <v>A-493-0072</v>
      </c>
      <c r="D414" s="225" t="str">
        <f>VLOOKUP(Table2[[#This Row],[Course Title]],Data!$A$1:$E$56,3,FALSE)</f>
        <v>713U</v>
      </c>
      <c r="E414" s="224" t="s">
        <v>104</v>
      </c>
      <c r="F414" s="226">
        <v>45544</v>
      </c>
      <c r="G414" s="226">
        <v>45547</v>
      </c>
      <c r="H414" s="246">
        <v>0.33333333333333331</v>
      </c>
      <c r="I414" s="246"/>
      <c r="J414" s="226"/>
      <c r="K414" s="226"/>
      <c r="L414" s="226"/>
      <c r="M414" s="226"/>
      <c r="N414" s="226"/>
      <c r="O414" s="213" t="e">
        <v>#REF!</v>
      </c>
      <c r="P414" s="213" t="e">
        <v>#REF!</v>
      </c>
      <c r="Q414" s="214"/>
      <c r="T414" s="228">
        <f>VLOOKUP(Table2[[#This Row],[Course Title]],Data!$A$1:$E$56,4,FALSE)</f>
        <v>30</v>
      </c>
      <c r="U414" s="228">
        <f>VLOOKUP(Table2[[#This Row],[Course Title]],Data!$A$1:$E$56,5,FALSE)</f>
        <v>4</v>
      </c>
      <c r="V414" s="228"/>
      <c r="W414" s="218"/>
      <c r="X414" s="228"/>
      <c r="Y414" s="228"/>
      <c r="Z414" s="225"/>
      <c r="AA414" s="241">
        <f ca="1">Table2[[#This Row],[End Date]]+2-TODAY()</f>
        <v>150</v>
      </c>
      <c r="AB414" s="228">
        <f>IF(ISBLANK(#REF!),1,0)</f>
        <v>0</v>
      </c>
      <c r="AC414" s="225">
        <f ca="1">IF(Table2[[#This Row],[Start Date]]&gt;TODAY(),1,)</f>
        <v>1</v>
      </c>
    </row>
    <row r="415" spans="1:29" s="215" customFormat="1">
      <c r="B415" s="224" t="s">
        <v>17</v>
      </c>
      <c r="C415" s="225" t="str">
        <f>VLOOKUP(Table2[[#This Row],[Course Title]],Data!$A$1:$E$56,2,FALSE)</f>
        <v>A-493-0012</v>
      </c>
      <c r="D415" s="225">
        <f>VLOOKUP(Table2[[#This Row],[Course Title]],Data!$A$1:$E$56,3,FALSE)</f>
        <v>3682</v>
      </c>
      <c r="E415" s="250" t="s">
        <v>143</v>
      </c>
      <c r="F415" s="245">
        <v>45544</v>
      </c>
      <c r="G415" s="245">
        <v>45548</v>
      </c>
      <c r="H415" s="227">
        <v>0.33333333333333331</v>
      </c>
      <c r="I415" s="227"/>
      <c r="J415" s="227"/>
      <c r="K415" s="227"/>
      <c r="L415" s="227"/>
      <c r="M415" s="227"/>
      <c r="N415" s="226"/>
      <c r="O415" s="213" t="e">
        <v>#REF!</v>
      </c>
      <c r="P415" s="213" t="e">
        <v>#REF!</v>
      </c>
      <c r="Q415" s="214"/>
      <c r="T415" s="228">
        <f>VLOOKUP(Table2[[#This Row],[Course Title]],Data!$A$1:$E$56,4,FALSE)</f>
        <v>40</v>
      </c>
      <c r="U415" s="228">
        <f>VLOOKUP(Table2[[#This Row],[Course Title]],Data!$A$1:$E$56,5,FALSE)</f>
        <v>5</v>
      </c>
      <c r="V415" s="228"/>
      <c r="W415" s="218"/>
      <c r="X415" s="228"/>
      <c r="Y415" s="228"/>
      <c r="Z415" s="225"/>
      <c r="AA415" s="241">
        <f ca="1">Table2[[#This Row],[End Date]]+2-TODAY()</f>
        <v>151</v>
      </c>
      <c r="AB415" s="228">
        <f>IF(ISBLANK(#REF!),1,0)</f>
        <v>0</v>
      </c>
      <c r="AC415" s="225">
        <f ca="1">IF(Table2[[#This Row],[Start Date]]&gt;TODAY(),1,)</f>
        <v>1</v>
      </c>
    </row>
    <row r="416" spans="1:29" s="215" customFormat="1">
      <c r="B416" s="224" t="s">
        <v>17</v>
      </c>
      <c r="C416" s="225" t="str">
        <f>VLOOKUP(Table2[[#This Row],[Course Title]],Data!$A$1:$E$56,2,FALSE)</f>
        <v>A-493-0012</v>
      </c>
      <c r="D416" s="225">
        <f>VLOOKUP(Table2[[#This Row],[Course Title]],Data!$A$1:$E$56,3,FALSE)</f>
        <v>3682</v>
      </c>
      <c r="E416" s="252" t="s">
        <v>342</v>
      </c>
      <c r="F416" s="243">
        <v>45544</v>
      </c>
      <c r="G416" s="245">
        <v>45548</v>
      </c>
      <c r="H416" s="227">
        <v>0.33333333333333331</v>
      </c>
      <c r="I416" s="227"/>
      <c r="J416" s="226"/>
      <c r="K416" s="226"/>
      <c r="L416" s="226"/>
      <c r="M416" s="226"/>
      <c r="N416" s="226"/>
      <c r="O416" s="218" t="e">
        <v>#REF!</v>
      </c>
      <c r="P416" s="213" t="e">
        <v>#REF!</v>
      </c>
      <c r="Q416" s="218"/>
      <c r="T416" s="228">
        <f>VLOOKUP(Table2[[#This Row],[Course Title]],Data!$A$1:$E$56,4,FALSE)</f>
        <v>40</v>
      </c>
      <c r="U416" s="228">
        <f>VLOOKUP(Table2[[#This Row],[Course Title]],Data!$A$1:$E$56,5,FALSE)</f>
        <v>5</v>
      </c>
      <c r="V416" s="228"/>
      <c r="W416" s="218"/>
      <c r="X416" s="228"/>
      <c r="Y416" s="228"/>
      <c r="Z416" s="225"/>
      <c r="AA416" s="241">
        <f ca="1">Table2[[#This Row],[End Date]]+2-TODAY()</f>
        <v>151</v>
      </c>
      <c r="AB416" s="228">
        <f>IF(ISBLANK(#REF!),1,0)</f>
        <v>0</v>
      </c>
      <c r="AC416" s="225">
        <f ca="1">IF(Table2[[#This Row],[Start Date]]&gt;TODAY(),1,)</f>
        <v>1</v>
      </c>
    </row>
    <row r="417" spans="1:29" s="215" customFormat="1">
      <c r="B417" s="224" t="s">
        <v>236</v>
      </c>
      <c r="C417" s="225" t="str">
        <f>VLOOKUP(Table2[[#This Row],[Course Title]],Data!$A$1:$E$56,2,FALSE)</f>
        <v>A-493-0103</v>
      </c>
      <c r="D417" s="225" t="str">
        <f>VLOOKUP(Table2[[#This Row],[Course Title]],Data!$A$1:$E$56,3,FALSE)</f>
        <v>12JY</v>
      </c>
      <c r="E417" s="252" t="s">
        <v>140</v>
      </c>
      <c r="F417" s="245">
        <v>45544</v>
      </c>
      <c r="G417" s="245">
        <v>45548</v>
      </c>
      <c r="H417" s="227">
        <v>0.33333333333333331</v>
      </c>
      <c r="I417" s="227"/>
      <c r="J417" s="226"/>
      <c r="K417" s="226"/>
      <c r="L417" s="226"/>
      <c r="M417" s="226"/>
      <c r="N417" s="226"/>
      <c r="O417" s="213" t="e">
        <v>#REF!</v>
      </c>
      <c r="P417" s="213" t="e">
        <v>#REF!</v>
      </c>
      <c r="Q417" s="213"/>
      <c r="T417" s="228">
        <f>VLOOKUP(Table2[[#This Row],[Course Title]],Data!$A$1:$E$56,4,FALSE)</f>
        <v>25</v>
      </c>
      <c r="U417" s="228">
        <f>VLOOKUP(Table2[[#This Row],[Course Title]],Data!$A$1:$E$56,5,FALSE)</f>
        <v>5</v>
      </c>
      <c r="V417" s="228"/>
      <c r="W417" s="218"/>
      <c r="X417" s="228"/>
      <c r="Y417" s="228"/>
      <c r="Z417" s="225"/>
      <c r="AA417" s="241">
        <f ca="1">Table2[[#This Row],[End Date]]+2-TODAY()</f>
        <v>151</v>
      </c>
      <c r="AB417" s="228">
        <f>IF(ISBLANK(#REF!),1,0)</f>
        <v>0</v>
      </c>
      <c r="AC417" s="225">
        <f ca="1">IF(Table2[[#This Row],[Start Date]]&gt;TODAY(),1,)</f>
        <v>1</v>
      </c>
    </row>
    <row r="418" spans="1:29" s="215" customFormat="1">
      <c r="B418" s="224" t="s">
        <v>236</v>
      </c>
      <c r="C418" s="225" t="str">
        <f>VLOOKUP(Table2[[#This Row],[Course Title]],Data!$A$1:$E$56,2,FALSE)</f>
        <v>A-493-0103</v>
      </c>
      <c r="D418" s="225" t="str">
        <f>VLOOKUP(Table2[[#This Row],[Course Title]],Data!$A$1:$E$56,3,FALSE)</f>
        <v>12JY</v>
      </c>
      <c r="E418" s="270" t="s">
        <v>150</v>
      </c>
      <c r="F418" s="245">
        <v>45544</v>
      </c>
      <c r="G418" s="245">
        <v>45548</v>
      </c>
      <c r="H418" s="227">
        <v>0.33333333333333331</v>
      </c>
      <c r="I418" s="227"/>
      <c r="J418" s="226"/>
      <c r="K418" s="226"/>
      <c r="L418" s="226"/>
      <c r="M418" s="226"/>
      <c r="N418" s="226"/>
      <c r="O418" s="213" t="e">
        <v>#REF!</v>
      </c>
      <c r="P418" s="213" t="e">
        <v>#REF!</v>
      </c>
      <c r="Q418" s="213"/>
      <c r="T418" s="228">
        <f>VLOOKUP(Table2[[#This Row],[Course Title]],Data!$A$1:$E$56,4,FALSE)</f>
        <v>25</v>
      </c>
      <c r="U418" s="228">
        <f>VLOOKUP(Table2[[#This Row],[Course Title]],Data!$A$1:$E$56,5,FALSE)</f>
        <v>5</v>
      </c>
      <c r="V418" s="228"/>
      <c r="W418" s="218"/>
      <c r="X418" s="228"/>
      <c r="Y418" s="228"/>
      <c r="Z418" s="225"/>
      <c r="AA418" s="241">
        <f ca="1">Table2[[#This Row],[End Date]]+2-TODAY()</f>
        <v>151</v>
      </c>
      <c r="AB418" s="228">
        <f>IF(ISBLANK(#REF!),1,0)</f>
        <v>0</v>
      </c>
      <c r="AC418" s="225">
        <f ca="1">IF(Table2[[#This Row],[Start Date]]&gt;TODAY(),1,)</f>
        <v>1</v>
      </c>
    </row>
    <row r="419" spans="1:29" s="215" customFormat="1">
      <c r="B419" s="224" t="s">
        <v>242</v>
      </c>
      <c r="C419" s="225" t="str">
        <f>VLOOKUP(Table2[[#This Row],[Course Title]],Data!$A$1:$E$56,2,FALSE)</f>
        <v>A-493-0061</v>
      </c>
      <c r="D419" s="225" t="str">
        <f>VLOOKUP(Table2[[#This Row],[Course Title]],Data!$A$1:$E$56,3,FALSE)</f>
        <v>288E</v>
      </c>
      <c r="E419" s="270" t="s">
        <v>116</v>
      </c>
      <c r="F419" s="245">
        <v>45544</v>
      </c>
      <c r="G419" s="245">
        <v>45548</v>
      </c>
      <c r="H419" s="226"/>
      <c r="I419" s="244">
        <v>0.54166666666666663</v>
      </c>
      <c r="J419" s="244">
        <v>0.41666666666666669</v>
      </c>
      <c r="K419" s="244">
        <v>0.83333333333333337</v>
      </c>
      <c r="L419" s="244">
        <v>0.75</v>
      </c>
      <c r="M419" s="244">
        <v>0.29166666666666669</v>
      </c>
      <c r="N419" s="244">
        <v>8.3333333333333329E-2</v>
      </c>
      <c r="O419" s="213" t="e">
        <v>#REF!</v>
      </c>
      <c r="P419" s="213" t="e">
        <v>#REF!</v>
      </c>
      <c r="Q419" s="214"/>
      <c r="T419" s="228">
        <f>VLOOKUP(Table2[[#This Row],[Course Title]],Data!$A$1:$E$56,4,FALSE)</f>
        <v>45</v>
      </c>
      <c r="U419" s="228">
        <f>VLOOKUP(Table2[[#This Row],[Course Title]],Data!$A$1:$E$56,5,FALSE)</f>
        <v>5</v>
      </c>
      <c r="V419" s="228"/>
      <c r="W419" s="218"/>
      <c r="X419" s="228"/>
      <c r="Y419" s="228"/>
      <c r="Z419" s="225"/>
      <c r="AA419" s="241">
        <f ca="1">Table2[[#This Row],[End Date]]+2-TODAY()</f>
        <v>151</v>
      </c>
      <c r="AB419" s="228">
        <f>IF(ISBLANK(#REF!),1,0)</f>
        <v>0</v>
      </c>
      <c r="AC419" s="225">
        <f ca="1">IF(Table2[[#This Row],[Start Date]]&gt;TODAY(),1,)</f>
        <v>1</v>
      </c>
    </row>
    <row r="420" spans="1:29" s="215" customFormat="1">
      <c r="B420" s="224" t="s">
        <v>248</v>
      </c>
      <c r="C420" s="225" t="str">
        <f>VLOOKUP(Table2[[#This Row],[Course Title]],Data!$A$1:$E$56,2,FALSE)</f>
        <v>A-322-2604</v>
      </c>
      <c r="D420" s="225" t="str">
        <f>VLOOKUP(Table2[[#This Row],[Course Title]],Data!$A$1:$E$56,3,FALSE)</f>
        <v>10ZZ</v>
      </c>
      <c r="E420" s="270" t="s">
        <v>116</v>
      </c>
      <c r="F420" s="245">
        <v>45544</v>
      </c>
      <c r="G420" s="245">
        <v>45548</v>
      </c>
      <c r="H420" s="226"/>
      <c r="I420" s="244">
        <v>0.54166666666666663</v>
      </c>
      <c r="J420" s="244">
        <v>0.41666666666666669</v>
      </c>
      <c r="K420" s="244">
        <v>0.83333333333333337</v>
      </c>
      <c r="L420" s="244">
        <v>0.75</v>
      </c>
      <c r="M420" s="244">
        <v>0.29166666666666669</v>
      </c>
      <c r="N420" s="244">
        <v>8.3333333333333329E-2</v>
      </c>
      <c r="O420" s="218" t="e">
        <v>#REF!</v>
      </c>
      <c r="P420" s="213" t="e">
        <v>#REF!</v>
      </c>
      <c r="Q420" s="218"/>
      <c r="T420" s="228">
        <f>VLOOKUP(Table2[[#This Row],[Course Title]],Data!$A$1:$E$56,4,FALSE)</f>
        <v>45</v>
      </c>
      <c r="U420" s="228">
        <f>VLOOKUP(Table2[[#This Row],[Course Title]],Data!$A$1:$E$56,5,FALSE)</f>
        <v>5</v>
      </c>
      <c r="V420" s="228"/>
      <c r="W420" s="218"/>
      <c r="X420" s="228"/>
      <c r="Y420" s="228"/>
      <c r="Z420" s="225"/>
      <c r="AA420" s="241">
        <f ca="1">Table2[[#This Row],[End Date]]+2-TODAY()</f>
        <v>151</v>
      </c>
      <c r="AB420" s="228">
        <f>IF(ISBLANK(#REF!),1,0)</f>
        <v>0</v>
      </c>
      <c r="AC420" s="225">
        <f ca="1">IF(Table2[[#This Row],[Start Date]]&gt;TODAY(),1,)</f>
        <v>1</v>
      </c>
    </row>
    <row r="421" spans="1:29" s="215" customFormat="1">
      <c r="B421" s="224" t="s">
        <v>276</v>
      </c>
      <c r="C421" s="225" t="str">
        <f>VLOOKUP(Table2[[#This Row],[Course Title]],Data!$A$1:$E$56,2,FALSE)</f>
        <v>A-493-0550</v>
      </c>
      <c r="D421" s="225" t="str">
        <f>VLOOKUP(Table2[[#This Row],[Course Title]],Data!$A$1:$E$56,3,FALSE)</f>
        <v>09K5</v>
      </c>
      <c r="E421" s="270" t="s">
        <v>116</v>
      </c>
      <c r="F421" s="226">
        <v>45544</v>
      </c>
      <c r="G421" s="226">
        <v>45548</v>
      </c>
      <c r="H421" s="226"/>
      <c r="I421" s="244">
        <v>0.41666666666666669</v>
      </c>
      <c r="J421" s="244">
        <v>0.29166666666666669</v>
      </c>
      <c r="K421" s="244">
        <v>0.70833333333333337</v>
      </c>
      <c r="L421" s="244">
        <v>0.625</v>
      </c>
      <c r="M421" s="244">
        <v>0.16666666666666666</v>
      </c>
      <c r="N421" s="244">
        <v>0.95833333333333337</v>
      </c>
      <c r="O421" s="213" t="e">
        <v>#REF!</v>
      </c>
      <c r="P421" s="213" t="e">
        <v>#REF!</v>
      </c>
      <c r="Q421" s="214"/>
      <c r="T421" s="228">
        <f>VLOOKUP(Table2[[#This Row],[Course Title]],Data!$A$1:$E$56,4,FALSE)</f>
        <v>45</v>
      </c>
      <c r="U421" s="228">
        <f>VLOOKUP(Table2[[#This Row],[Course Title]],Data!$A$1:$E$56,5,FALSE)</f>
        <v>4</v>
      </c>
      <c r="V421" s="228"/>
      <c r="W421" s="218"/>
      <c r="X421" s="228"/>
      <c r="Y421" s="228"/>
      <c r="Z421" s="225"/>
      <c r="AA421" s="241">
        <f ca="1">Table2[[#This Row],[End Date]]+2-TODAY()</f>
        <v>151</v>
      </c>
      <c r="AB421" s="228">
        <f>IF(ISBLANK(#REF!),1,0)</f>
        <v>0</v>
      </c>
      <c r="AC421" s="225">
        <f ca="1">IF(Table2[[#This Row],[Start Date]]&gt;TODAY(),1,)</f>
        <v>1</v>
      </c>
    </row>
    <row r="422" spans="1:29" s="215" customFormat="1">
      <c r="B422" s="224" t="s">
        <v>287</v>
      </c>
      <c r="C422" s="225" t="str">
        <f>VLOOKUP(Table2[[#This Row],[Course Title]],Data!$A$1:$E$56,2,FALSE)</f>
        <v>A-493-0078</v>
      </c>
      <c r="D422" s="225">
        <f>VLOOKUP(Table2[[#This Row],[Course Title]],Data!$A$1:$E$56,3,FALSE)</f>
        <v>1228</v>
      </c>
      <c r="E422" s="270" t="s">
        <v>116</v>
      </c>
      <c r="F422" s="226">
        <v>45544</v>
      </c>
      <c r="G422" s="226">
        <v>45548</v>
      </c>
      <c r="H422" s="226"/>
      <c r="I422" s="244">
        <v>0.33333333333333331</v>
      </c>
      <c r="J422" s="244">
        <v>0.20833333333333334</v>
      </c>
      <c r="K422" s="244">
        <v>0.625</v>
      </c>
      <c r="L422" s="244">
        <v>0.54166666666666663</v>
      </c>
      <c r="M422" s="244">
        <v>8.3333333333333329E-2</v>
      </c>
      <c r="N422" s="244">
        <v>0.875</v>
      </c>
      <c r="O422" s="213" t="e">
        <v>#REF!</v>
      </c>
      <c r="P422" s="213" t="e">
        <v>#REF!</v>
      </c>
      <c r="Q422" s="214"/>
      <c r="T422" s="228">
        <f>VLOOKUP(Table2[[#This Row],[Course Title]],Data!$A$1:$E$56,4,FALSE)</f>
        <v>45</v>
      </c>
      <c r="U422" s="228">
        <f>VLOOKUP(Table2[[#This Row],[Course Title]],Data!$A$1:$E$56,5,FALSE)</f>
        <v>5</v>
      </c>
      <c r="V422" s="228"/>
      <c r="W422" s="218"/>
      <c r="X422" s="228"/>
      <c r="Y422" s="228"/>
      <c r="Z422" s="225"/>
      <c r="AA422" s="241">
        <f ca="1">Table2[[#This Row],[End Date]]+2-TODAY()</f>
        <v>151</v>
      </c>
      <c r="AB422" s="228">
        <f>IF(ISBLANK(#REF!),1,0)</f>
        <v>0</v>
      </c>
      <c r="AC422" s="225">
        <f ca="1">IF(Table2[[#This Row],[Start Date]]&gt;TODAY(),1,)</f>
        <v>1</v>
      </c>
    </row>
    <row r="423" spans="1:29" s="215" customFormat="1">
      <c r="A423" s="224"/>
      <c r="B423" s="224" t="s">
        <v>38</v>
      </c>
      <c r="C423" s="225" t="str">
        <f>VLOOKUP(Table2[[#This Row],[Course Title]],Data!$A$1:$E$56,2,FALSE)</f>
        <v>A-493-0072</v>
      </c>
      <c r="D423" s="225" t="str">
        <f>VLOOKUP(Table2[[#This Row],[Course Title]],Data!$A$1:$E$56,3,FALSE)</f>
        <v>713U</v>
      </c>
      <c r="E423" s="270" t="s">
        <v>151</v>
      </c>
      <c r="F423" s="226">
        <v>45544</v>
      </c>
      <c r="G423" s="226">
        <v>45547</v>
      </c>
      <c r="H423" s="246">
        <v>0.33333333333333331</v>
      </c>
      <c r="I423" s="246"/>
      <c r="J423" s="226"/>
      <c r="K423" s="226"/>
      <c r="L423" s="226"/>
      <c r="M423" s="226"/>
      <c r="N423" s="226"/>
      <c r="O423" s="213" t="e">
        <v>#REF!</v>
      </c>
      <c r="P423" s="213" t="e">
        <v>#REF!</v>
      </c>
      <c r="Q423" s="214"/>
      <c r="T423" s="228">
        <f>VLOOKUP(Table2[[#This Row],[Course Title]],Data!$A$1:$E$56,4,FALSE)</f>
        <v>30</v>
      </c>
      <c r="U423" s="228">
        <f>VLOOKUP(Table2[[#This Row],[Course Title]],Data!$A$1:$E$56,5,FALSE)</f>
        <v>4</v>
      </c>
      <c r="V423" s="228"/>
      <c r="W423" s="218"/>
      <c r="X423" s="228"/>
      <c r="Y423" s="228"/>
      <c r="Z423" s="225"/>
      <c r="AA423" s="241">
        <f ca="1">Table2[[#This Row],[End Date]]+2-TODAY()</f>
        <v>150</v>
      </c>
      <c r="AB423" s="228">
        <f>IF(ISBLANK(#REF!),1,0)</f>
        <v>0</v>
      </c>
      <c r="AC423" s="225">
        <f ca="1">IF(Table2[[#This Row],[Start Date]]&gt;TODAY(),1,)</f>
        <v>1</v>
      </c>
    </row>
    <row r="424" spans="1:29" s="215" customFormat="1">
      <c r="B424" s="224" t="s">
        <v>312</v>
      </c>
      <c r="C424" s="225" t="str">
        <f>VLOOKUP(Table2[[#This Row],[Course Title]],Data!$A$1:$E$56,2,FALSE)</f>
        <v>A-493-2098</v>
      </c>
      <c r="D424" s="225" t="str">
        <f>VLOOKUP(Table2[[#This Row],[Course Title]],Data!$A$1:$E$56,3,FALSE)</f>
        <v>09WW</v>
      </c>
      <c r="E424" s="270" t="s">
        <v>116</v>
      </c>
      <c r="F424" s="226">
        <v>45544</v>
      </c>
      <c r="G424" s="226">
        <v>45548</v>
      </c>
      <c r="H424" s="226"/>
      <c r="I424" s="244">
        <v>0.54166666666666663</v>
      </c>
      <c r="J424" s="244">
        <v>0.41666666666666669</v>
      </c>
      <c r="K424" s="244">
        <v>0.83333333333333337</v>
      </c>
      <c r="L424" s="244">
        <v>0.75</v>
      </c>
      <c r="M424" s="244">
        <v>0.29166666666666669</v>
      </c>
      <c r="N424" s="244">
        <v>8.3333333333333329E-2</v>
      </c>
      <c r="O424" s="218" t="e">
        <v>#REF!</v>
      </c>
      <c r="P424" s="213" t="e">
        <v>#REF!</v>
      </c>
      <c r="Q424" s="218"/>
      <c r="T424" s="228">
        <f>VLOOKUP(Table2[[#This Row],[Course Title]],Data!$A$1:$E$56,4,FALSE)</f>
        <v>100</v>
      </c>
      <c r="U424" s="228">
        <f>VLOOKUP(Table2[[#This Row],[Course Title]],Data!$A$1:$E$56,5,FALSE)</f>
        <v>5</v>
      </c>
      <c r="V424" s="228"/>
      <c r="W424" s="218"/>
      <c r="X424" s="228"/>
      <c r="Y424" s="228"/>
      <c r="Z424" s="225"/>
      <c r="AA424" s="241">
        <f ca="1">Table2[[#This Row],[End Date]]+2-TODAY()</f>
        <v>151</v>
      </c>
      <c r="AB424" s="228">
        <f>IF(ISBLANK(#REF!),1,0)</f>
        <v>0</v>
      </c>
      <c r="AC424" s="225">
        <f ca="1">IF(Table2[[#This Row],[Start Date]]&gt;TODAY(),1,)</f>
        <v>1</v>
      </c>
    </row>
    <row r="425" spans="1:29" s="215" customFormat="1">
      <c r="B425" s="224" t="s">
        <v>19</v>
      </c>
      <c r="C425" s="225" t="str">
        <f>VLOOKUP(Table2[[#This Row],[Course Title]],Data!$A$1:$E$56,2,FALSE)</f>
        <v>A-493-0099</v>
      </c>
      <c r="D425" s="225" t="str">
        <f>VLOOKUP(Table2[[#This Row],[Course Title]],Data!$A$1:$E$56,3,FALSE)</f>
        <v>12JW</v>
      </c>
      <c r="E425" s="224" t="s">
        <v>116</v>
      </c>
      <c r="F425" s="226">
        <v>45545</v>
      </c>
      <c r="G425" s="226">
        <v>45547</v>
      </c>
      <c r="H425" s="226"/>
      <c r="I425" s="244">
        <v>0.54166666666666663</v>
      </c>
      <c r="J425" s="244">
        <v>0.41666666666666669</v>
      </c>
      <c r="K425" s="244">
        <v>0.83333333333333337</v>
      </c>
      <c r="L425" s="244">
        <v>0.75</v>
      </c>
      <c r="M425" s="244">
        <v>0.29166666666666669</v>
      </c>
      <c r="N425" s="244">
        <v>8.3333333333333329E-2</v>
      </c>
      <c r="O425" s="213" t="e">
        <v>#REF!</v>
      </c>
      <c r="P425" s="213" t="e">
        <v>#REF!</v>
      </c>
      <c r="Q425" s="214"/>
      <c r="T425" s="228">
        <f>VLOOKUP(Table2[[#This Row],[Course Title]],Data!$A$1:$E$56,4,FALSE)</f>
        <v>45</v>
      </c>
      <c r="U425" s="228">
        <f>VLOOKUP(Table2[[#This Row],[Course Title]],Data!$A$1:$E$56,5,FALSE)</f>
        <v>3</v>
      </c>
      <c r="V425" s="228"/>
      <c r="W425" s="218"/>
      <c r="X425" s="228"/>
      <c r="Y425" s="228"/>
      <c r="Z425" s="225"/>
      <c r="AA425" s="241">
        <f ca="1">Table2[[#This Row],[End Date]]+2-TODAY()</f>
        <v>150</v>
      </c>
      <c r="AB425" s="228">
        <f>IF(ISBLANK(#REF!),1,0)</f>
        <v>0</v>
      </c>
      <c r="AC425" s="225">
        <f ca="1">IF(Table2[[#This Row],[Start Date]]&gt;TODAY(),1,)</f>
        <v>1</v>
      </c>
    </row>
    <row r="426" spans="1:29" s="215" customFormat="1">
      <c r="B426" s="224" t="s">
        <v>26</v>
      </c>
      <c r="C426" s="225" t="str">
        <f>VLOOKUP(Table2[[#This Row],[Course Title]],Data!$A$1:$E$56,2,FALSE)</f>
        <v>A-493-2301</v>
      </c>
      <c r="D426" s="225" t="str">
        <f>VLOOKUP(Table2[[#This Row],[Course Title]],Data!$A$1:$E$56,3,FALSE)</f>
        <v>05ZD</v>
      </c>
      <c r="E426" s="224" t="s">
        <v>108</v>
      </c>
      <c r="F426" s="226">
        <v>45545</v>
      </c>
      <c r="G426" s="226">
        <v>45545</v>
      </c>
      <c r="H426" s="227">
        <v>0.33333333333333331</v>
      </c>
      <c r="I426" s="266"/>
      <c r="J426" s="266"/>
      <c r="K426" s="266"/>
      <c r="L426" s="266"/>
      <c r="M426" s="266"/>
      <c r="N426" s="266"/>
      <c r="T426" s="228">
        <v>30</v>
      </c>
      <c r="U426" s="228">
        <v>1</v>
      </c>
      <c r="V426" s="218"/>
      <c r="W426" s="267"/>
      <c r="X426" s="267"/>
      <c r="Y426" s="267"/>
      <c r="Z426" s="267"/>
      <c r="AA426" s="267"/>
    </row>
    <row r="427" spans="1:29" s="215" customFormat="1">
      <c r="B427" s="224" t="s">
        <v>35</v>
      </c>
      <c r="C427" s="225" t="str">
        <f>VLOOKUP(Table2[[#This Row],[Course Title]],Data!$A$1:$E$56,2,FALSE)</f>
        <v>A-493-2501</v>
      </c>
      <c r="D427" s="225" t="str">
        <f>VLOOKUP(Table2[[#This Row],[Course Title]],Data!$A$1:$E$56,3,FALSE)</f>
        <v>05ZE</v>
      </c>
      <c r="E427" s="224" t="s">
        <v>108</v>
      </c>
      <c r="F427" s="226">
        <v>45546</v>
      </c>
      <c r="G427" s="226">
        <v>45546</v>
      </c>
      <c r="H427" s="227">
        <v>0.33333333333333331</v>
      </c>
      <c r="I427" s="227"/>
      <c r="J427" s="226"/>
      <c r="K427" s="226"/>
      <c r="L427" s="226"/>
      <c r="M427" s="226"/>
      <c r="N427" s="226"/>
      <c r="O427" s="218"/>
      <c r="P427" s="213"/>
      <c r="Q427" s="218"/>
      <c r="T427" s="218">
        <v>30</v>
      </c>
      <c r="U427" s="213">
        <v>1</v>
      </c>
      <c r="V427" s="218"/>
      <c r="W427" s="218"/>
      <c r="X427" s="228"/>
      <c r="Y427" s="228"/>
      <c r="Z427" s="225"/>
      <c r="AA427" s="241">
        <f ca="1">Table2[[#This Row],[End Date]]+2-TODAY()</f>
        <v>149</v>
      </c>
      <c r="AB427" s="228">
        <f>IF(ISBLANK(#REF!),1,0)</f>
        <v>0</v>
      </c>
      <c r="AC427" s="225">
        <f ca="1">IF(Table2[[#This Row],[Start Date]]&gt;TODAY(),1,)</f>
        <v>1</v>
      </c>
    </row>
    <row r="428" spans="1:29" s="215" customFormat="1">
      <c r="B428" s="224" t="s">
        <v>25</v>
      </c>
      <c r="C428" s="225" t="str">
        <f>VLOOKUP(Table2[[#This Row],[Course Title]],Data!$A$1:$E$56,2,FALSE)</f>
        <v>A-493-2300</v>
      </c>
      <c r="D428" s="225" t="str">
        <f>VLOOKUP(Table2[[#This Row],[Course Title]],Data!$A$1:$E$56,3,FALSE)</f>
        <v>993F</v>
      </c>
      <c r="E428" s="232" t="s">
        <v>101</v>
      </c>
      <c r="F428" s="226">
        <v>45547</v>
      </c>
      <c r="G428" s="226">
        <v>45548</v>
      </c>
      <c r="H428" s="227">
        <v>0.33333333333333331</v>
      </c>
      <c r="I428" s="227"/>
      <c r="J428" s="226"/>
      <c r="K428" s="226"/>
      <c r="L428" s="226"/>
      <c r="M428" s="226"/>
      <c r="N428" s="226"/>
      <c r="O428" s="218" t="e">
        <v>#REF!</v>
      </c>
      <c r="P428" s="213" t="e">
        <v>#REF!</v>
      </c>
      <c r="Q428" s="218"/>
      <c r="T428" s="228">
        <f>VLOOKUP(Table2[[#This Row],[Course Title]],Data!$A$1:$E$56,4,FALSE)</f>
        <v>30</v>
      </c>
      <c r="U428" s="228">
        <f>VLOOKUP(Table2[[#This Row],[Course Title]],Data!$A$1:$E$56,5,FALSE)</f>
        <v>2</v>
      </c>
      <c r="V428" s="228"/>
      <c r="W428" s="218"/>
      <c r="X428" s="228"/>
      <c r="Y428" s="228"/>
      <c r="Z428" s="228"/>
      <c r="AA428" s="229">
        <f ca="1">Table2[[#This Row],[End Date]]+2-TODAY()</f>
        <v>151</v>
      </c>
      <c r="AB428" s="228">
        <f>IF(ISBLANK(#REF!),1,0)</f>
        <v>0</v>
      </c>
      <c r="AC428" s="228">
        <f ca="1">IF(Table2[[#This Row],[Start Date]]&gt;TODAY(),1,)</f>
        <v>1</v>
      </c>
    </row>
    <row r="429" spans="1:29" s="215" customFormat="1">
      <c r="B429" s="224" t="s">
        <v>35</v>
      </c>
      <c r="C429" s="225" t="str">
        <f>VLOOKUP(Table2[[#This Row],[Course Title]],Data!$A$1:$E$56,2,FALSE)</f>
        <v>A-493-2501</v>
      </c>
      <c r="D429" s="225" t="str">
        <f>VLOOKUP(Table2[[#This Row],[Course Title]],Data!$A$1:$E$56,3,FALSE)</f>
        <v>05ZE</v>
      </c>
      <c r="E429" s="224" t="s">
        <v>101</v>
      </c>
      <c r="F429" s="226">
        <v>45548</v>
      </c>
      <c r="G429" s="226">
        <v>45548</v>
      </c>
      <c r="H429" s="227">
        <v>0.33333333333333331</v>
      </c>
      <c r="I429" s="227"/>
      <c r="J429" s="226"/>
      <c r="K429" s="226"/>
      <c r="L429" s="226"/>
      <c r="M429" s="226"/>
      <c r="N429" s="226"/>
      <c r="O429" s="218" t="e">
        <v>#REF!</v>
      </c>
      <c r="P429" s="213" t="e">
        <v>#REF!</v>
      </c>
      <c r="Q429" s="218"/>
      <c r="T429" s="228">
        <f>VLOOKUP(Table2[[#This Row],[Course Title]],Data!$A$1:$E$56,4,FALSE)</f>
        <v>30</v>
      </c>
      <c r="U429" s="228">
        <f>VLOOKUP(Table2[[#This Row],[Course Title]],Data!$A$1:$E$56,5,FALSE)</f>
        <v>1</v>
      </c>
      <c r="V429" s="228"/>
      <c r="W429" s="218"/>
      <c r="X429" s="228"/>
      <c r="Y429" s="228"/>
      <c r="Z429" s="225"/>
      <c r="AA429" s="241">
        <f ca="1">Table2[[#This Row],[End Date]]+2-TODAY()</f>
        <v>151</v>
      </c>
      <c r="AB429" s="228">
        <f>IF(ISBLANK(#REF!),1,0)</f>
        <v>0</v>
      </c>
      <c r="AC429" s="225">
        <f ca="1">IF(Table2[[#This Row],[Start Date]]&gt;TODAY(),1,)</f>
        <v>1</v>
      </c>
    </row>
    <row r="430" spans="1:29" s="215" customFormat="1">
      <c r="B430" s="224" t="s">
        <v>35</v>
      </c>
      <c r="C430" s="225" t="str">
        <f>VLOOKUP(Table2[[#This Row],[Course Title]],Data!$A$1:$E$56,2,FALSE)</f>
        <v>A-493-2501</v>
      </c>
      <c r="D430" s="225" t="str">
        <f>VLOOKUP(Table2[[#This Row],[Course Title]],Data!$A$1:$E$56,3,FALSE)</f>
        <v>05ZE</v>
      </c>
      <c r="E430" s="232" t="s">
        <v>109</v>
      </c>
      <c r="F430" s="226">
        <v>45548</v>
      </c>
      <c r="G430" s="226">
        <v>45548</v>
      </c>
      <c r="H430" s="227">
        <v>0.33333333333333331</v>
      </c>
      <c r="I430" s="227"/>
      <c r="J430" s="226"/>
      <c r="K430" s="226"/>
      <c r="L430" s="226"/>
      <c r="M430" s="226"/>
      <c r="N430" s="226"/>
      <c r="O430" s="218" t="e">
        <v>#REF!</v>
      </c>
      <c r="P430" s="213" t="e">
        <v>#REF!</v>
      </c>
      <c r="Q430" s="218"/>
      <c r="T430" s="228">
        <f>VLOOKUP(Table2[[#This Row],[Course Title]],Data!$A$1:$E$56,4,FALSE)</f>
        <v>30</v>
      </c>
      <c r="U430" s="228">
        <f>VLOOKUP(Table2[[#This Row],[Course Title]],Data!$A$1:$E$56,5,FALSE)</f>
        <v>1</v>
      </c>
      <c r="V430" s="228"/>
      <c r="W430" s="218"/>
      <c r="X430" s="228"/>
      <c r="Y430" s="228"/>
      <c r="Z430" s="225"/>
      <c r="AA430" s="241">
        <f ca="1">Table2[[#This Row],[End Date]]+2-TODAY()</f>
        <v>151</v>
      </c>
      <c r="AB430" s="228">
        <f>IF(ISBLANK(#REF!),1,0)</f>
        <v>0</v>
      </c>
      <c r="AC430" s="225">
        <f ca="1">IF(Table2[[#This Row],[Start Date]]&gt;TODAY(),1,)</f>
        <v>1</v>
      </c>
    </row>
    <row r="431" spans="1:29" s="215" customFormat="1">
      <c r="A431" s="215" t="s">
        <v>481</v>
      </c>
      <c r="B431" s="224" t="s">
        <v>17</v>
      </c>
      <c r="C431" s="225" t="str">
        <f>VLOOKUP(Table2[[#This Row],[Course Title]],Data!$A$1:$E$56,2,FALSE)</f>
        <v>A-493-0012</v>
      </c>
      <c r="D431" s="225">
        <f>VLOOKUP(Table2[[#This Row],[Course Title]],Data!$A$1:$E$56,3,FALSE)</f>
        <v>3682</v>
      </c>
      <c r="E431" s="224" t="s">
        <v>302</v>
      </c>
      <c r="F431" s="226">
        <v>45551</v>
      </c>
      <c r="G431" s="226">
        <v>45555</v>
      </c>
      <c r="H431" s="227">
        <v>800</v>
      </c>
      <c r="I431" s="227"/>
      <c r="J431" s="226"/>
      <c r="K431" s="226"/>
      <c r="L431" s="226"/>
      <c r="M431" s="226"/>
      <c r="N431" s="226"/>
      <c r="O431" s="218"/>
      <c r="P431" s="213"/>
      <c r="Q431" s="218"/>
      <c r="T431" s="218">
        <v>40</v>
      </c>
      <c r="U431" s="213">
        <v>5</v>
      </c>
      <c r="V431" s="218"/>
      <c r="W431" s="218"/>
      <c r="X431" s="228"/>
      <c r="Y431" s="228"/>
      <c r="Z431" s="228"/>
      <c r="AA431" s="229">
        <f ca="1">Table2[[#This Row],[End Date]]+2-TODAY()</f>
        <v>158</v>
      </c>
      <c r="AB431" s="228">
        <f>IF(ISBLANK(#REF!),1,0)</f>
        <v>0</v>
      </c>
      <c r="AC431" s="228">
        <f ca="1">IF(Table2[[#This Row],[Start Date]]&gt;TODAY(),1,)</f>
        <v>1</v>
      </c>
    </row>
    <row r="432" spans="1:29" s="215" customFormat="1">
      <c r="A432" s="215" t="s">
        <v>469</v>
      </c>
      <c r="B432" s="224" t="s">
        <v>333</v>
      </c>
      <c r="C432" s="225" t="str">
        <f>VLOOKUP(Table2[[#This Row],[Course Title]],Data!$A$1:$E$56,2,FALSE)</f>
        <v>NA</v>
      </c>
      <c r="D432" s="225" t="str">
        <f>VLOOKUP(Table2[[#This Row],[Course Title]],Data!$A$1:$E$56,3,FALSE)</f>
        <v>NA</v>
      </c>
      <c r="E432" s="224" t="s">
        <v>140</v>
      </c>
      <c r="F432" s="226">
        <v>45551</v>
      </c>
      <c r="G432" s="226">
        <v>45551</v>
      </c>
      <c r="H432" s="227">
        <v>0.375</v>
      </c>
      <c r="I432" s="227"/>
      <c r="J432" s="226"/>
      <c r="K432" s="226"/>
      <c r="L432" s="226"/>
      <c r="M432" s="226"/>
      <c r="N432" s="226"/>
      <c r="O432" s="218" t="e">
        <v>#REF!</v>
      </c>
      <c r="P432" s="213" t="e">
        <v>#REF!</v>
      </c>
      <c r="Q432" s="214">
        <v>0</v>
      </c>
      <c r="R432" s="215">
        <v>0</v>
      </c>
      <c r="S432" s="215">
        <v>0</v>
      </c>
      <c r="T432" s="228">
        <f>VLOOKUP(Table2[[#This Row],[Course Title]],Data!$A$1:$E$56,4,FALSE)</f>
        <v>0</v>
      </c>
      <c r="U432" s="228">
        <f>VLOOKUP(Table2[[#This Row],[Course Title]],Data!$A$1:$E$56,5,FALSE)</f>
        <v>0</v>
      </c>
      <c r="V432" s="228">
        <v>0</v>
      </c>
      <c r="W432" s="218">
        <v>0</v>
      </c>
      <c r="X432" s="228">
        <v>0</v>
      </c>
      <c r="Y432" s="228">
        <v>0</v>
      </c>
      <c r="Z432" s="228">
        <v>0</v>
      </c>
      <c r="AA432" s="241">
        <f ca="1">Table2[[#This Row],[End Date]]+2-TODAY()</f>
        <v>154</v>
      </c>
      <c r="AB432" s="228">
        <f>IF(ISBLANK(#REF!),1,0)</f>
        <v>0</v>
      </c>
      <c r="AC432" s="225">
        <f ca="1">IF(Table2[[#This Row],[Start Date]]&gt;TODAY(),1,)</f>
        <v>1</v>
      </c>
    </row>
    <row r="433" spans="1:29" s="215" customFormat="1">
      <c r="A433" s="224"/>
      <c r="B433" s="224" t="s">
        <v>236</v>
      </c>
      <c r="C433" s="225" t="str">
        <f>VLOOKUP(Table2[[#This Row],[Course Title]],Data!$A$1:$E$56,2,FALSE)</f>
        <v>A-493-0103</v>
      </c>
      <c r="D433" s="225" t="str">
        <f>VLOOKUP(Table2[[#This Row],[Course Title]],Data!$A$1:$E$56,3,FALSE)</f>
        <v>12JY</v>
      </c>
      <c r="E433" s="224" t="s">
        <v>109</v>
      </c>
      <c r="F433" s="226">
        <v>45551</v>
      </c>
      <c r="G433" s="226">
        <v>45555</v>
      </c>
      <c r="H433" s="227">
        <v>0.33333333333333331</v>
      </c>
      <c r="I433" s="227"/>
      <c r="J433" s="226"/>
      <c r="K433" s="226"/>
      <c r="L433" s="226"/>
      <c r="M433" s="226"/>
      <c r="N433" s="226"/>
      <c r="O433" s="213" t="e">
        <v>#REF!</v>
      </c>
      <c r="P433" s="213" t="e">
        <v>#REF!</v>
      </c>
      <c r="Q433" s="214"/>
      <c r="T433" s="228">
        <f>VLOOKUP(Table2[[#This Row],[Course Title]],Data!$A$1:$E$56,4,FALSE)</f>
        <v>25</v>
      </c>
      <c r="U433" s="228">
        <f>VLOOKUP(Table2[[#This Row],[Course Title]],Data!$A$1:$E$56,5,FALSE)</f>
        <v>5</v>
      </c>
      <c r="V433" s="228"/>
      <c r="W433" s="218"/>
      <c r="X433" s="228"/>
      <c r="Y433" s="228"/>
      <c r="Z433" s="225"/>
      <c r="AA433" s="241">
        <f ca="1">Table2[[#This Row],[End Date]]+2-TODAY()</f>
        <v>158</v>
      </c>
      <c r="AB433" s="228">
        <f>IF(ISBLANK(#REF!),1,0)</f>
        <v>0</v>
      </c>
      <c r="AC433" s="225">
        <f ca="1">IF(Table2[[#This Row],[Start Date]]&gt;TODAY(),1,)</f>
        <v>1</v>
      </c>
    </row>
    <row r="434" spans="1:29" s="215" customFormat="1">
      <c r="B434" s="224" t="s">
        <v>14</v>
      </c>
      <c r="C434" s="225" t="str">
        <f>VLOOKUP(Table2[[#This Row],[Course Title]],Data!$A$1:$E$56,2,FALSE)</f>
        <v>A-493-0030</v>
      </c>
      <c r="D434" s="225" t="str">
        <f>VLOOKUP(Table2[[#This Row],[Course Title]],Data!$A$1:$E$56,3,FALSE)</f>
        <v>286X</v>
      </c>
      <c r="E434" s="224" t="s">
        <v>111</v>
      </c>
      <c r="F434" s="226">
        <v>45551</v>
      </c>
      <c r="G434" s="226">
        <v>45555</v>
      </c>
      <c r="H434" s="227">
        <v>0.33333333333333331</v>
      </c>
      <c r="I434" s="227"/>
      <c r="J434" s="226"/>
      <c r="K434" s="226"/>
      <c r="L434" s="226"/>
      <c r="M434" s="226"/>
      <c r="N434" s="226"/>
      <c r="O434" s="213" t="e">
        <v>#REF!</v>
      </c>
      <c r="P434" s="213" t="e">
        <v>#REF!</v>
      </c>
      <c r="Q434" s="214"/>
      <c r="T434" s="228">
        <f>VLOOKUP(Table2[[#This Row],[Course Title]],Data!$A$1:$E$56,4,FALSE)</f>
        <v>25</v>
      </c>
      <c r="U434" s="228">
        <f>VLOOKUP(Table2[[#This Row],[Course Title]],Data!$A$1:$E$56,5,FALSE)</f>
        <v>5</v>
      </c>
      <c r="V434" s="228"/>
      <c r="W434" s="218"/>
      <c r="X434" s="228"/>
      <c r="Y434" s="228"/>
      <c r="Z434" s="225"/>
      <c r="AA434" s="241">
        <f ca="1">Table2[[#This Row],[End Date]]+2-TODAY()</f>
        <v>158</v>
      </c>
      <c r="AB434" s="228">
        <f>IF(ISBLANK(#REF!),1,0)</f>
        <v>0</v>
      </c>
      <c r="AC434" s="225">
        <f ca="1">IF(Table2[[#This Row],[Start Date]]&gt;TODAY(),1,)</f>
        <v>1</v>
      </c>
    </row>
    <row r="435" spans="1:29" s="215" customFormat="1">
      <c r="B435" s="224" t="s">
        <v>26</v>
      </c>
      <c r="C435" s="225" t="str">
        <f>VLOOKUP(Table2[[#This Row],[Course Title]],Data!$A$1:$E$56,2,FALSE)</f>
        <v>A-493-2301</v>
      </c>
      <c r="D435" s="225" t="str">
        <f>VLOOKUP(Table2[[#This Row],[Course Title]],Data!$A$1:$E$56,3,FALSE)</f>
        <v>05ZD</v>
      </c>
      <c r="E435" s="232" t="s">
        <v>146</v>
      </c>
      <c r="F435" s="226">
        <v>45551</v>
      </c>
      <c r="G435" s="226">
        <v>45551</v>
      </c>
      <c r="H435" s="227">
        <v>0.33333333333333331</v>
      </c>
      <c r="I435" s="227"/>
      <c r="J435" s="226"/>
      <c r="K435" s="226"/>
      <c r="L435" s="226"/>
      <c r="M435" s="226"/>
      <c r="N435" s="226"/>
      <c r="O435" s="218" t="e">
        <v>#REF!</v>
      </c>
      <c r="P435" s="213" t="e">
        <v>#REF!</v>
      </c>
      <c r="Q435" s="218"/>
      <c r="T435" s="228">
        <f>VLOOKUP(Table2[[#This Row],[Course Title]],Data!$A$1:$E$56,4,FALSE)</f>
        <v>30</v>
      </c>
      <c r="U435" s="228">
        <f>VLOOKUP(Table2[[#This Row],[Course Title]],Data!$A$1:$E$56,5,FALSE)</f>
        <v>1</v>
      </c>
      <c r="V435" s="228"/>
      <c r="W435" s="218"/>
      <c r="X435" s="228"/>
      <c r="Y435" s="228"/>
      <c r="Z435" s="225"/>
      <c r="AA435" s="241">
        <f ca="1">Table2[[#This Row],[End Date]]+2-TODAY()</f>
        <v>154</v>
      </c>
      <c r="AB435" s="228">
        <f>IF(ISBLANK(#REF!),1,0)</f>
        <v>0</v>
      </c>
      <c r="AC435" s="225">
        <f ca="1">IF(Table2[[#This Row],[Start Date]]&gt;TODAY(),1,)</f>
        <v>1</v>
      </c>
    </row>
    <row r="436" spans="1:29" s="215" customFormat="1">
      <c r="B436" s="224" t="s">
        <v>299</v>
      </c>
      <c r="C436" s="225" t="str">
        <f>VLOOKUP(Table2[[#This Row],[Course Title]],Data!$A$1:$E$56,2,FALSE)</f>
        <v>A-570-0100</v>
      </c>
      <c r="D436" s="225" t="str">
        <f>VLOOKUP(Table2[[#This Row],[Course Title]],Data!$A$1:$E$56,3,FALSE)</f>
        <v>18B7</v>
      </c>
      <c r="E436" s="224" t="s">
        <v>116</v>
      </c>
      <c r="F436" s="226">
        <v>45551</v>
      </c>
      <c r="G436" s="226">
        <v>45554</v>
      </c>
      <c r="H436" s="226"/>
      <c r="I436" s="244">
        <v>0.54166666666666663</v>
      </c>
      <c r="J436" s="244">
        <v>0.41666666666666669</v>
      </c>
      <c r="K436" s="244">
        <v>0.83333333333333337</v>
      </c>
      <c r="L436" s="244">
        <v>0.75</v>
      </c>
      <c r="M436" s="244">
        <v>0.29166666666666669</v>
      </c>
      <c r="N436" s="244">
        <v>8.3333333333333329E-2</v>
      </c>
      <c r="O436" s="218" t="e">
        <v>#REF!</v>
      </c>
      <c r="P436" s="213" t="e">
        <v>#REF!</v>
      </c>
      <c r="Q436" s="218"/>
      <c r="T436" s="228">
        <f>VLOOKUP(Table2[[#This Row],[Course Title]],Data!$A$1:$E$56,4,FALSE)</f>
        <v>30</v>
      </c>
      <c r="U436" s="228">
        <f>VLOOKUP(Table2[[#This Row],[Course Title]],Data!$A$1:$E$56,5,FALSE)</f>
        <v>4</v>
      </c>
      <c r="V436" s="228"/>
      <c r="W436" s="218"/>
      <c r="X436" s="228"/>
      <c r="Y436" s="228"/>
      <c r="Z436" s="225"/>
      <c r="AA436" s="241">
        <f ca="1">Table2[[#This Row],[End Date]]+2-TODAY()</f>
        <v>157</v>
      </c>
      <c r="AB436" s="228">
        <f>IF(ISBLANK(#REF!),1,0)</f>
        <v>0</v>
      </c>
      <c r="AC436" s="225">
        <f ca="1">IF(Table2[[#This Row],[Start Date]]&gt;TODAY(),1,)</f>
        <v>1</v>
      </c>
    </row>
    <row r="437" spans="1:29" s="215" customFormat="1">
      <c r="B437" s="224" t="s">
        <v>266</v>
      </c>
      <c r="C437" s="225" t="str">
        <f>VLOOKUP(Table2[[#This Row],[Course Title]],Data!$A$1:$E$56,2,FALSE)</f>
        <v>A-493-0331</v>
      </c>
      <c r="D437" s="225" t="str">
        <f>VLOOKUP(Table2[[#This Row],[Course Title]],Data!$A$1:$E$56,3,FALSE)</f>
        <v>10UG</v>
      </c>
      <c r="E437" s="224" t="s">
        <v>116</v>
      </c>
      <c r="F437" s="226">
        <v>45552</v>
      </c>
      <c r="G437" s="226">
        <v>45554</v>
      </c>
      <c r="H437" s="226"/>
      <c r="I437" s="244">
        <v>0.5</v>
      </c>
      <c r="J437" s="244">
        <v>0.375</v>
      </c>
      <c r="K437" s="244">
        <v>0.79166666666666663</v>
      </c>
      <c r="L437" s="244">
        <v>0.70833333333333337</v>
      </c>
      <c r="M437" s="244">
        <v>0.25</v>
      </c>
      <c r="N437" s="244">
        <v>4.1666666666666664E-2</v>
      </c>
      <c r="O437" s="213" t="e">
        <v>#REF!</v>
      </c>
      <c r="P437" s="213" t="e">
        <v>#REF!</v>
      </c>
      <c r="Q437" s="214"/>
      <c r="T437" s="228">
        <f>VLOOKUP(Table2[[#This Row],[Course Title]],Data!$A$1:$E$56,4,FALSE)</f>
        <v>40</v>
      </c>
      <c r="U437" s="228">
        <f>VLOOKUP(Table2[[#This Row],[Course Title]],Data!$A$1:$E$56,5,FALSE)</f>
        <v>3</v>
      </c>
      <c r="V437" s="228"/>
      <c r="W437" s="218"/>
      <c r="X437" s="228"/>
      <c r="Y437" s="228"/>
      <c r="Z437" s="225"/>
      <c r="AA437" s="241">
        <f ca="1">Table2[[#This Row],[End Date]]+2-TODAY()</f>
        <v>157</v>
      </c>
      <c r="AB437" s="228">
        <f>IF(ISBLANK(#REF!),1,0)</f>
        <v>0</v>
      </c>
      <c r="AC437" s="225">
        <f ca="1">IF(Table2[[#This Row],[Start Date]]&gt;TODAY(),1,)</f>
        <v>1</v>
      </c>
    </row>
    <row r="438" spans="1:29" s="215" customFormat="1">
      <c r="B438" s="224" t="s">
        <v>35</v>
      </c>
      <c r="C438" s="225" t="str">
        <f>VLOOKUP(Table2[[#This Row],[Course Title]],Data!$A$1:$E$56,2,FALSE)</f>
        <v>A-493-2501</v>
      </c>
      <c r="D438" s="225" t="str">
        <f>VLOOKUP(Table2[[#This Row],[Course Title]],Data!$A$1:$E$56,3,FALSE)</f>
        <v>05ZE</v>
      </c>
      <c r="E438" s="232" t="s">
        <v>146</v>
      </c>
      <c r="F438" s="226">
        <v>45552</v>
      </c>
      <c r="G438" s="226">
        <v>45552</v>
      </c>
      <c r="H438" s="227">
        <v>0.33333333333333331</v>
      </c>
      <c r="I438" s="227"/>
      <c r="J438" s="226"/>
      <c r="K438" s="226"/>
      <c r="L438" s="226"/>
      <c r="M438" s="226"/>
      <c r="N438" s="226"/>
      <c r="O438" s="218" t="e">
        <v>#REF!</v>
      </c>
      <c r="P438" s="213" t="e">
        <v>#REF!</v>
      </c>
      <c r="Q438" s="218"/>
      <c r="T438" s="228">
        <f>VLOOKUP(Table2[[#This Row],[Course Title]],Data!$A$1:$E$56,4,FALSE)</f>
        <v>30</v>
      </c>
      <c r="U438" s="228">
        <f>VLOOKUP(Table2[[#This Row],[Course Title]],Data!$A$1:$E$56,5,FALSE)</f>
        <v>1</v>
      </c>
      <c r="V438" s="228"/>
      <c r="W438" s="218"/>
      <c r="X438" s="228"/>
      <c r="Y438" s="228"/>
      <c r="Z438" s="225"/>
      <c r="AA438" s="241">
        <f ca="1">Table2[[#This Row],[End Date]]+2-TODAY()</f>
        <v>155</v>
      </c>
      <c r="AB438" s="228">
        <f>IF(ISBLANK(#REF!),1,0)</f>
        <v>0</v>
      </c>
      <c r="AC438" s="225">
        <f ca="1">IF(Table2[[#This Row],[Start Date]]&gt;TODAY(),1,)</f>
        <v>1</v>
      </c>
    </row>
    <row r="439" spans="1:29" s="215" customFormat="1">
      <c r="A439" s="224"/>
      <c r="B439" s="224" t="s">
        <v>20</v>
      </c>
      <c r="C439" s="225" t="str">
        <f>VLOOKUP(Table2[[#This Row],[Course Title]],Data!$A$1:$E$56,2,FALSE)</f>
        <v xml:space="preserve">A-493-0075 </v>
      </c>
      <c r="D439" s="225" t="str">
        <f>VLOOKUP(Table2[[#This Row],[Course Title]],Data!$A$1:$E$56,3,FALSE)</f>
        <v>714U</v>
      </c>
      <c r="E439" s="224" t="s">
        <v>155</v>
      </c>
      <c r="F439" s="226">
        <v>45552</v>
      </c>
      <c r="G439" s="226">
        <v>45555</v>
      </c>
      <c r="H439" s="227">
        <v>0.33333333333333331</v>
      </c>
      <c r="I439" s="227"/>
      <c r="J439" s="226"/>
      <c r="K439" s="226"/>
      <c r="L439" s="226"/>
      <c r="M439" s="226"/>
      <c r="N439" s="226"/>
      <c r="O439" s="213" t="e">
        <v>#REF!</v>
      </c>
      <c r="P439" s="213" t="e">
        <v>#REF!</v>
      </c>
      <c r="Q439" s="213"/>
      <c r="T439" s="228">
        <f>VLOOKUP(Table2[[#This Row],[Course Title]],Data!$A$1:$E$56,4,FALSE)</f>
        <v>30</v>
      </c>
      <c r="U439" s="228">
        <f>VLOOKUP(Table2[[#This Row],[Course Title]],Data!$A$1:$E$56,5,FALSE)</f>
        <v>4</v>
      </c>
      <c r="V439" s="228"/>
      <c r="W439" s="218"/>
      <c r="X439" s="228"/>
      <c r="Y439" s="228"/>
      <c r="Z439" s="225"/>
      <c r="AA439" s="241">
        <f ca="1">Table2[[#This Row],[End Date]]+2-TODAY()</f>
        <v>158</v>
      </c>
      <c r="AB439" s="228">
        <f>IF(ISBLANK(#REF!),1,0)</f>
        <v>0</v>
      </c>
      <c r="AC439" s="225">
        <f ca="1">IF(Table2[[#This Row],[Start Date]]&gt;TODAY(),1,)</f>
        <v>1</v>
      </c>
    </row>
    <row r="440" spans="1:29" s="215" customFormat="1">
      <c r="A440" s="224"/>
      <c r="B440" s="224" t="s">
        <v>28</v>
      </c>
      <c r="C440" s="225" t="str">
        <f>VLOOKUP(Table2[[#This Row],[Course Title]],Data!$A$1:$E$56,2,FALSE)</f>
        <v>A-493-0092</v>
      </c>
      <c r="D440" s="225">
        <f>VLOOKUP(Table2[[#This Row],[Course Title]],Data!$A$1:$E$56,3,FALSE)</f>
        <v>5891</v>
      </c>
      <c r="E440" s="232" t="s">
        <v>140</v>
      </c>
      <c r="F440" s="226">
        <v>45552</v>
      </c>
      <c r="G440" s="226">
        <v>45554</v>
      </c>
      <c r="H440" s="227">
        <v>0.33333333333333331</v>
      </c>
      <c r="I440" s="227"/>
      <c r="J440" s="226"/>
      <c r="K440" s="226"/>
      <c r="L440" s="226"/>
      <c r="M440" s="226"/>
      <c r="N440" s="226"/>
      <c r="O440" s="213" t="e">
        <v>#REF!</v>
      </c>
      <c r="P440" s="213" t="e">
        <v>#REF!</v>
      </c>
      <c r="Q440" s="214"/>
      <c r="T440" s="228">
        <f>VLOOKUP(Table2[[#This Row],[Course Title]],Data!$A$1:$E$56,4,FALSE)</f>
        <v>25</v>
      </c>
      <c r="U440" s="228">
        <f>VLOOKUP(Table2[[#This Row],[Course Title]],Data!$A$1:$E$56,5,FALSE)</f>
        <v>3</v>
      </c>
      <c r="V440" s="228"/>
      <c r="W440" s="218"/>
      <c r="X440" s="228"/>
      <c r="Y440" s="228"/>
      <c r="Z440" s="225"/>
      <c r="AA440" s="241">
        <f ca="1">Table2[[#This Row],[End Date]]+2-TODAY()</f>
        <v>157</v>
      </c>
      <c r="AB440" s="228">
        <f>IF(ISBLANK(#REF!),1,0)</f>
        <v>0</v>
      </c>
      <c r="AC440" s="225">
        <f ca="1">IF(Table2[[#This Row],[Start Date]]&gt;TODAY(),1,)</f>
        <v>1</v>
      </c>
    </row>
    <row r="441" spans="1:29" s="215" customFormat="1">
      <c r="A441" s="215" t="s">
        <v>497</v>
      </c>
      <c r="B441" s="224" t="s">
        <v>18</v>
      </c>
      <c r="C441" s="225" t="str">
        <f>VLOOKUP(Table2[[#This Row],[Course Title]],Data!$A$1:$E$56,2,FALSE)</f>
        <v>A-493-0013</v>
      </c>
      <c r="D441" s="225">
        <f>VLOOKUP(Table2[[#This Row],[Course Title]],Data!$A$1:$E$56,3,FALSE)</f>
        <v>3683</v>
      </c>
      <c r="E441" s="232" t="s">
        <v>147</v>
      </c>
      <c r="F441" s="226">
        <v>45553</v>
      </c>
      <c r="G441" s="226">
        <v>45555</v>
      </c>
      <c r="H441" s="227">
        <v>0.33333333333333331</v>
      </c>
      <c r="I441" s="227"/>
      <c r="J441" s="226"/>
      <c r="K441" s="226"/>
      <c r="L441" s="226"/>
      <c r="M441" s="226"/>
      <c r="N441" s="226"/>
      <c r="O441" s="218" t="e">
        <v>#REF!</v>
      </c>
      <c r="P441" s="213" t="e">
        <v>#REF!</v>
      </c>
      <c r="Q441" s="218"/>
      <c r="T441" s="228">
        <f>VLOOKUP(Table2[[#This Row],[Course Title]],Data!$A$1:$E$56,4,FALSE)</f>
        <v>40</v>
      </c>
      <c r="U441" s="228">
        <v>3</v>
      </c>
      <c r="V441" s="228"/>
      <c r="W441" s="218"/>
      <c r="X441" s="228"/>
      <c r="Y441" s="228"/>
      <c r="Z441" s="228"/>
      <c r="AA441" s="229">
        <f ca="1">Table2[[#This Row],[End Date]]+2-TODAY()</f>
        <v>158</v>
      </c>
      <c r="AB441" s="228">
        <f>IF(ISBLANK(#REF!),1,0)</f>
        <v>0</v>
      </c>
      <c r="AC441" s="228">
        <f ca="1">IF(Table2[[#This Row],[Start Date]]&gt;TODAY(),1,)</f>
        <v>1</v>
      </c>
    </row>
    <row r="442" spans="1:29" s="215" customFormat="1">
      <c r="B442" s="224" t="s">
        <v>26</v>
      </c>
      <c r="C442" s="225" t="str">
        <f>VLOOKUP(Table2[[#This Row],[Course Title]],Data!$A$1:$E$56,2,FALSE)</f>
        <v>A-493-2301</v>
      </c>
      <c r="D442" s="225" t="str">
        <f>VLOOKUP(Table2[[#This Row],[Course Title]],Data!$A$1:$E$56,3,FALSE)</f>
        <v>05ZD</v>
      </c>
      <c r="E442" s="224" t="s">
        <v>121</v>
      </c>
      <c r="F442" s="226">
        <v>45553</v>
      </c>
      <c r="G442" s="226">
        <v>45553</v>
      </c>
      <c r="H442" s="227">
        <v>0.33333333333333331</v>
      </c>
      <c r="I442" s="227"/>
      <c r="J442" s="226"/>
      <c r="K442" s="226"/>
      <c r="L442" s="226"/>
      <c r="M442" s="226"/>
      <c r="N442" s="226"/>
      <c r="O442" s="218" t="e">
        <v>#REF!</v>
      </c>
      <c r="P442" s="213" t="e">
        <v>#REF!</v>
      </c>
      <c r="Q442" s="218"/>
      <c r="T442" s="228">
        <f>VLOOKUP(Table2[[#This Row],[Course Title]],Data!$A$1:$E$56,4,FALSE)</f>
        <v>30</v>
      </c>
      <c r="U442" s="228">
        <f>VLOOKUP(Table2[[#This Row],[Course Title]],Data!$A$1:$E$56,5,FALSE)</f>
        <v>1</v>
      </c>
      <c r="V442" s="228"/>
      <c r="W442" s="218"/>
      <c r="X442" s="228"/>
      <c r="Y442" s="228"/>
      <c r="Z442" s="228"/>
      <c r="AA442" s="229">
        <f ca="1">Table2[[#This Row],[End Date]]+2-TODAY()</f>
        <v>156</v>
      </c>
      <c r="AB442" s="228">
        <f>IF(ISBLANK(#REF!),1,0)</f>
        <v>0</v>
      </c>
      <c r="AC442" s="228">
        <f ca="1">IF(Table2[[#This Row],[Start Date]]&gt;TODAY(),1,)</f>
        <v>1</v>
      </c>
    </row>
    <row r="443" spans="1:29" s="215" customFormat="1">
      <c r="B443" s="224" t="s">
        <v>35</v>
      </c>
      <c r="C443" s="225" t="str">
        <f>VLOOKUP(Table2[[#This Row],[Course Title]],Data!$A$1:$E$56,2,FALSE)</f>
        <v>A-493-2501</v>
      </c>
      <c r="D443" s="225" t="str">
        <f>VLOOKUP(Table2[[#This Row],[Course Title]],Data!$A$1:$E$56,3,FALSE)</f>
        <v>05ZE</v>
      </c>
      <c r="E443" s="224" t="s">
        <v>121</v>
      </c>
      <c r="F443" s="226">
        <v>45554</v>
      </c>
      <c r="G443" s="226">
        <v>45554</v>
      </c>
      <c r="H443" s="227">
        <v>0.33333333333333331</v>
      </c>
      <c r="I443" s="227"/>
      <c r="J443" s="226"/>
      <c r="K443" s="226"/>
      <c r="L443" s="226"/>
      <c r="M443" s="226"/>
      <c r="N443" s="226"/>
      <c r="O443" s="218"/>
      <c r="P443" s="213"/>
      <c r="Q443" s="218"/>
      <c r="T443" s="218">
        <v>30</v>
      </c>
      <c r="U443" s="213">
        <v>1</v>
      </c>
      <c r="V443" s="218"/>
      <c r="W443" s="218"/>
      <c r="X443" s="228"/>
      <c r="Y443" s="228"/>
      <c r="Z443" s="225"/>
      <c r="AA443" s="241">
        <f ca="1">Table2[[#This Row],[End Date]]+2-TODAY()</f>
        <v>157</v>
      </c>
      <c r="AB443" s="228">
        <f>IF(ISBLANK(#REF!),1,0)</f>
        <v>0</v>
      </c>
      <c r="AC443" s="225">
        <f ca="1">IF(Table2[[#This Row],[Start Date]]&gt;TODAY(),1,)</f>
        <v>1</v>
      </c>
    </row>
    <row r="444" spans="1:29" s="215" customFormat="1">
      <c r="B444" s="250" t="s">
        <v>184</v>
      </c>
      <c r="C444" s="225" t="str">
        <f>VLOOKUP(Table2[[#This Row],[Course Title]],Data!$A$1:$E$56,2,FALSE)</f>
        <v>A-4J-0022</v>
      </c>
      <c r="D444" s="225" t="str">
        <f>VLOOKUP(Table2[[#This Row],[Course Title]],Data!$A$1:$E$56,3,FALSE)</f>
        <v>09ER</v>
      </c>
      <c r="E444" s="224" t="s">
        <v>116</v>
      </c>
      <c r="F444" s="239">
        <v>45558</v>
      </c>
      <c r="G444" s="226">
        <v>45562</v>
      </c>
      <c r="H444" s="226"/>
      <c r="I444" s="244">
        <v>0.54166666666666663</v>
      </c>
      <c r="J444" s="244">
        <v>0.41666666666666669</v>
      </c>
      <c r="K444" s="244">
        <v>0.83333333333333337</v>
      </c>
      <c r="L444" s="244">
        <v>0.75</v>
      </c>
      <c r="M444" s="244">
        <v>0.29166666666666669</v>
      </c>
      <c r="N444" s="244">
        <v>8.3333333333333329E-2</v>
      </c>
      <c r="O444" s="218" t="e">
        <v>#REF!</v>
      </c>
      <c r="P444" s="213" t="e">
        <v>#REF!</v>
      </c>
      <c r="Q444" s="218"/>
      <c r="T444" s="228">
        <f>VLOOKUP(Table2[[#This Row],[Course Title]],Data!$A$1:$E$56,4,FALSE)</f>
        <v>45</v>
      </c>
      <c r="U444" s="228">
        <f>VLOOKUP(Table2[[#This Row],[Course Title]],Data!$A$1:$E$56,5,FALSE)</f>
        <v>5</v>
      </c>
      <c r="V444" s="228"/>
      <c r="W444" s="218"/>
      <c r="X444" s="228"/>
      <c r="Y444" s="228"/>
      <c r="Z444" s="225"/>
      <c r="AA444" s="241">
        <f ca="1">Table2[[#This Row],[End Date]]+2-TODAY()</f>
        <v>165</v>
      </c>
      <c r="AB444" s="228">
        <f>IF(ISBLANK(#REF!),1,0)</f>
        <v>0</v>
      </c>
      <c r="AC444" s="225">
        <f ca="1">IF(Table2[[#This Row],[Start Date]]&gt;TODAY(),1,)</f>
        <v>1</v>
      </c>
    </row>
    <row r="445" spans="1:29" s="215" customFormat="1">
      <c r="A445" s="224"/>
      <c r="B445" s="250" t="s">
        <v>236</v>
      </c>
      <c r="C445" s="225" t="str">
        <f>VLOOKUP(Table2[[#This Row],[Course Title]],Data!$A$1:$E$56,2,FALSE)</f>
        <v>A-493-0103</v>
      </c>
      <c r="D445" s="225" t="str">
        <f>VLOOKUP(Table2[[#This Row],[Course Title]],Data!$A$1:$E$56,3,FALSE)</f>
        <v>12JY</v>
      </c>
      <c r="E445" s="224" t="s">
        <v>141</v>
      </c>
      <c r="F445" s="226">
        <v>45558</v>
      </c>
      <c r="G445" s="226">
        <v>45562</v>
      </c>
      <c r="H445" s="227">
        <v>0.33333333333333331</v>
      </c>
      <c r="I445" s="227"/>
      <c r="J445" s="226"/>
      <c r="K445" s="226"/>
      <c r="L445" s="226"/>
      <c r="M445" s="226"/>
      <c r="N445" s="226"/>
      <c r="O445" s="213" t="e">
        <v>#REF!</v>
      </c>
      <c r="P445" s="213" t="e">
        <v>#REF!</v>
      </c>
      <c r="Q445" s="213"/>
      <c r="T445" s="228">
        <f>VLOOKUP(Table2[[#This Row],[Course Title]],Data!$A$1:$E$56,4,FALSE)</f>
        <v>25</v>
      </c>
      <c r="U445" s="228">
        <f>VLOOKUP(Table2[[#This Row],[Course Title]],Data!$A$1:$E$56,5,FALSE)</f>
        <v>5</v>
      </c>
      <c r="V445" s="228"/>
      <c r="W445" s="218"/>
      <c r="X445" s="228"/>
      <c r="Y445" s="228"/>
      <c r="Z445" s="225"/>
      <c r="AA445" s="241">
        <f ca="1">Table2[[#This Row],[End Date]]+2-TODAY()</f>
        <v>165</v>
      </c>
      <c r="AB445" s="228">
        <f>IF(ISBLANK(#REF!),1,0)</f>
        <v>0</v>
      </c>
      <c r="AC445" s="225">
        <f ca="1">IF(Table2[[#This Row],[Start Date]]&gt;TODAY(),1,)</f>
        <v>1</v>
      </c>
    </row>
    <row r="446" spans="1:29" s="215" customFormat="1">
      <c r="B446" s="250" t="s">
        <v>242</v>
      </c>
      <c r="C446" s="225" t="str">
        <f>VLOOKUP(Table2[[#This Row],[Course Title]],Data!$A$1:$E$56,2,FALSE)</f>
        <v>A-493-0061</v>
      </c>
      <c r="D446" s="225" t="str">
        <f>VLOOKUP(Table2[[#This Row],[Course Title]],Data!$A$1:$E$56,3,FALSE)</f>
        <v>288E</v>
      </c>
      <c r="E446" s="224" t="s">
        <v>116</v>
      </c>
      <c r="F446" s="226">
        <v>45558</v>
      </c>
      <c r="G446" s="226">
        <v>45562</v>
      </c>
      <c r="H446" s="226"/>
      <c r="I446" s="244">
        <v>0.33333333333333331</v>
      </c>
      <c r="J446" s="244">
        <v>0.20833333333333334</v>
      </c>
      <c r="K446" s="244">
        <v>0.625</v>
      </c>
      <c r="L446" s="244">
        <v>0.54166666666666663</v>
      </c>
      <c r="M446" s="244">
        <v>8.3333333333333329E-2</v>
      </c>
      <c r="N446" s="244">
        <v>0.875</v>
      </c>
      <c r="O446" s="213" t="e">
        <v>#REF!</v>
      </c>
      <c r="P446" s="213" t="e">
        <v>#REF!</v>
      </c>
      <c r="Q446" s="214"/>
      <c r="T446" s="228">
        <f>VLOOKUP(Table2[[#This Row],[Course Title]],Data!$A$1:$E$56,4,FALSE)</f>
        <v>45</v>
      </c>
      <c r="U446" s="228">
        <f>VLOOKUP(Table2[[#This Row],[Course Title]],Data!$A$1:$E$56,5,FALSE)</f>
        <v>5</v>
      </c>
      <c r="V446" s="228"/>
      <c r="W446" s="218"/>
      <c r="X446" s="228"/>
      <c r="Y446" s="228"/>
      <c r="Z446" s="225"/>
      <c r="AA446" s="241">
        <f ca="1">Table2[[#This Row],[End Date]]+2-TODAY()</f>
        <v>165</v>
      </c>
      <c r="AB446" s="228">
        <f>IF(ISBLANK(#REF!),1,0)</f>
        <v>0</v>
      </c>
      <c r="AC446" s="225">
        <f ca="1">IF(Table2[[#This Row],[Start Date]]&gt;TODAY(),1,)</f>
        <v>1</v>
      </c>
    </row>
    <row r="447" spans="1:29" s="215" customFormat="1">
      <c r="B447" s="224" t="s">
        <v>248</v>
      </c>
      <c r="C447" s="225" t="str">
        <f>VLOOKUP(Table2[[#This Row],[Course Title]],Data!$A$1:$E$56,2,FALSE)</f>
        <v>A-322-2604</v>
      </c>
      <c r="D447" s="225" t="str">
        <f>VLOOKUP(Table2[[#This Row],[Course Title]],Data!$A$1:$E$56,3,FALSE)</f>
        <v>10ZZ</v>
      </c>
      <c r="E447" s="224" t="s">
        <v>116</v>
      </c>
      <c r="F447" s="226">
        <v>45558</v>
      </c>
      <c r="G447" s="226">
        <v>45562</v>
      </c>
      <c r="H447" s="226"/>
      <c r="I447" s="244">
        <v>0.54166666666666663</v>
      </c>
      <c r="J447" s="244">
        <v>0.41666666666666669</v>
      </c>
      <c r="K447" s="244">
        <v>0.83333333333333337</v>
      </c>
      <c r="L447" s="244">
        <v>0.75</v>
      </c>
      <c r="M447" s="244">
        <v>0.29166666666666669</v>
      </c>
      <c r="N447" s="244">
        <v>8.3333333333333329E-2</v>
      </c>
      <c r="O447" s="218" t="e">
        <v>#REF!</v>
      </c>
      <c r="P447" s="213" t="e">
        <v>#REF!</v>
      </c>
      <c r="Q447" s="218"/>
      <c r="T447" s="228">
        <f>VLOOKUP(Table2[[#This Row],[Course Title]],Data!$A$1:$E$56,4,FALSE)</f>
        <v>45</v>
      </c>
      <c r="U447" s="228">
        <f>VLOOKUP(Table2[[#This Row],[Course Title]],Data!$A$1:$E$56,5,FALSE)</f>
        <v>5</v>
      </c>
      <c r="V447" s="228"/>
      <c r="W447" s="218"/>
      <c r="X447" s="228"/>
      <c r="Y447" s="228"/>
      <c r="Z447" s="225"/>
      <c r="AA447" s="241">
        <f ca="1">Table2[[#This Row],[End Date]]+2-TODAY()</f>
        <v>165</v>
      </c>
      <c r="AB447" s="228">
        <f>IF(ISBLANK(#REF!),1,0)</f>
        <v>0</v>
      </c>
      <c r="AC447" s="225">
        <f ca="1">IF(Table2[[#This Row],[Start Date]]&gt;TODAY(),1,)</f>
        <v>1</v>
      </c>
    </row>
    <row r="448" spans="1:29" s="215" customFormat="1">
      <c r="B448" s="250" t="s">
        <v>26</v>
      </c>
      <c r="C448" s="225" t="str">
        <f>VLOOKUP(Table2[[#This Row],[Course Title]],Data!$A$1:$E$56,2,FALSE)</f>
        <v>A-493-2301</v>
      </c>
      <c r="D448" s="225" t="str">
        <f>VLOOKUP(Table2[[#This Row],[Course Title]],Data!$A$1:$E$56,3,FALSE)</f>
        <v>05ZD</v>
      </c>
      <c r="E448" s="224" t="s">
        <v>139</v>
      </c>
      <c r="F448" s="226">
        <v>45558</v>
      </c>
      <c r="G448" s="226">
        <v>45558</v>
      </c>
      <c r="H448" s="227">
        <v>0.33333333333333331</v>
      </c>
      <c r="I448" s="227"/>
      <c r="J448" s="226"/>
      <c r="K448" s="226"/>
      <c r="L448" s="226"/>
      <c r="M448" s="226"/>
      <c r="N448" s="226"/>
      <c r="O448" s="218" t="e">
        <v>#REF!</v>
      </c>
      <c r="P448" s="213" t="e">
        <v>#REF!</v>
      </c>
      <c r="Q448" s="218"/>
      <c r="T448" s="228">
        <f>VLOOKUP(Table2[[#This Row],[Course Title]],Data!$A$1:$E$56,4,FALSE)</f>
        <v>30</v>
      </c>
      <c r="U448" s="228">
        <f>VLOOKUP(Table2[[#This Row],[Course Title]],Data!$A$1:$E$56,5,FALSE)</f>
        <v>1</v>
      </c>
      <c r="V448" s="228"/>
      <c r="W448" s="218"/>
      <c r="X448" s="228"/>
      <c r="Y448" s="228"/>
      <c r="Z448" s="228"/>
      <c r="AA448" s="229">
        <f ca="1">Table2[[#This Row],[End Date]]+2-TODAY()</f>
        <v>161</v>
      </c>
      <c r="AB448" s="228">
        <f>IF(ISBLANK(#REF!),1,0)</f>
        <v>0</v>
      </c>
      <c r="AC448" s="228">
        <f ca="1">IF(Table2[[#This Row],[Start Date]]&gt;TODAY(),1,)</f>
        <v>1</v>
      </c>
    </row>
    <row r="449" spans="1:29" s="215" customFormat="1">
      <c r="A449" s="224"/>
      <c r="B449" s="224" t="s">
        <v>270</v>
      </c>
      <c r="C449" s="225" t="str">
        <f>VLOOKUP(Table2[[#This Row],[Course Title]],Data!$A$1:$E$56,2,FALSE)</f>
        <v>A-493-0335</v>
      </c>
      <c r="D449" s="225" t="str">
        <f>VLOOKUP(Table2[[#This Row],[Course Title]],Data!$A$1:$E$56,3,FALSE)</f>
        <v>09ND</v>
      </c>
      <c r="E449" s="224" t="s">
        <v>116</v>
      </c>
      <c r="F449" s="239">
        <v>45558</v>
      </c>
      <c r="G449" s="239">
        <v>45561</v>
      </c>
      <c r="H449" s="239"/>
      <c r="I449" s="244">
        <v>0.75</v>
      </c>
      <c r="J449" s="244">
        <v>0.625</v>
      </c>
      <c r="K449" s="244">
        <v>4.1666666666666664E-2</v>
      </c>
      <c r="L449" s="244">
        <v>0.95833333333333337</v>
      </c>
      <c r="M449" s="244">
        <v>0.5</v>
      </c>
      <c r="N449" s="244">
        <v>0.29166666666666669</v>
      </c>
      <c r="O449" s="213" t="e">
        <v>#REF!</v>
      </c>
      <c r="P449" s="213" t="e">
        <v>#REF!</v>
      </c>
      <c r="Q449" s="214"/>
      <c r="T449" s="228">
        <f>VLOOKUP(Table2[[#This Row],[Course Title]],Data!$A$1:$E$56,4,FALSE)</f>
        <v>30</v>
      </c>
      <c r="U449" s="228">
        <f>VLOOKUP(Table2[[#This Row],[Course Title]],Data!$A$1:$E$56,5,FALSE)</f>
        <v>4</v>
      </c>
      <c r="V449" s="228"/>
      <c r="W449" s="218"/>
      <c r="X449" s="228"/>
      <c r="Y449" s="228"/>
      <c r="Z449" s="225"/>
      <c r="AA449" s="241">
        <f ca="1">Table2[[#This Row],[End Date]]+2-TODAY()</f>
        <v>164</v>
      </c>
      <c r="AB449" s="228">
        <f>IF(ISBLANK(#REF!),1,0)</f>
        <v>0</v>
      </c>
      <c r="AC449" s="225">
        <f ca="1">IF(Table2[[#This Row],[Start Date]]&gt;TODAY(),1,)</f>
        <v>1</v>
      </c>
    </row>
    <row r="450" spans="1:29" s="215" customFormat="1">
      <c r="B450" s="250" t="s">
        <v>276</v>
      </c>
      <c r="C450" s="225" t="str">
        <f>VLOOKUP(Table2[[#This Row],[Course Title]],Data!$A$1:$E$56,2,FALSE)</f>
        <v>A-493-0550</v>
      </c>
      <c r="D450" s="225" t="str">
        <f>VLOOKUP(Table2[[#This Row],[Course Title]],Data!$A$1:$E$56,3,FALSE)</f>
        <v>09K5</v>
      </c>
      <c r="E450" s="224" t="s">
        <v>116</v>
      </c>
      <c r="F450" s="226">
        <v>45558</v>
      </c>
      <c r="G450" s="226">
        <v>45562</v>
      </c>
      <c r="H450" s="226"/>
      <c r="I450" s="244">
        <v>0.33333333333333331</v>
      </c>
      <c r="J450" s="244">
        <v>0.20833333333333334</v>
      </c>
      <c r="K450" s="244">
        <v>0.625</v>
      </c>
      <c r="L450" s="244">
        <v>0.54166666666666663</v>
      </c>
      <c r="M450" s="244">
        <v>8.3333333333333329E-2</v>
      </c>
      <c r="N450" s="244">
        <v>0.875</v>
      </c>
      <c r="O450" s="213" t="e">
        <v>#REF!</v>
      </c>
      <c r="P450" s="213" t="e">
        <v>#REF!</v>
      </c>
      <c r="Q450" s="214"/>
      <c r="T450" s="228">
        <f>VLOOKUP(Table2[[#This Row],[Course Title]],Data!$A$1:$E$56,4,FALSE)</f>
        <v>45</v>
      </c>
      <c r="U450" s="228">
        <f>VLOOKUP(Table2[[#This Row],[Course Title]],Data!$A$1:$E$56,5,FALSE)</f>
        <v>4</v>
      </c>
      <c r="V450" s="228"/>
      <c r="W450" s="218"/>
      <c r="X450" s="228"/>
      <c r="Y450" s="228"/>
      <c r="Z450" s="225"/>
      <c r="AA450" s="241">
        <f ca="1">Table2[[#This Row],[End Date]]+2-TODAY()</f>
        <v>165</v>
      </c>
      <c r="AB450" s="228">
        <f>IF(ISBLANK(#REF!),1,0)</f>
        <v>0</v>
      </c>
      <c r="AC450" s="225">
        <f ca="1">IF(Table2[[#This Row],[Start Date]]&gt;TODAY(),1,)</f>
        <v>1</v>
      </c>
    </row>
    <row r="451" spans="1:29" s="215" customFormat="1">
      <c r="B451" s="224" t="s">
        <v>287</v>
      </c>
      <c r="C451" s="225" t="str">
        <f>VLOOKUP(Table2[[#This Row],[Course Title]],Data!$A$1:$E$56,2,FALSE)</f>
        <v>A-493-0078</v>
      </c>
      <c r="D451" s="225">
        <f>VLOOKUP(Table2[[#This Row],[Course Title]],Data!$A$1:$E$56,3,FALSE)</f>
        <v>1228</v>
      </c>
      <c r="E451" s="224" t="s">
        <v>116</v>
      </c>
      <c r="F451" s="226">
        <v>45558</v>
      </c>
      <c r="G451" s="226">
        <v>45562</v>
      </c>
      <c r="H451" s="226"/>
      <c r="I451" s="244">
        <v>0.33333333333333331</v>
      </c>
      <c r="J451" s="244">
        <v>0.20833333333333334</v>
      </c>
      <c r="K451" s="244">
        <v>0.625</v>
      </c>
      <c r="L451" s="244">
        <v>0.54166666666666663</v>
      </c>
      <c r="M451" s="244">
        <v>8.3333333333333329E-2</v>
      </c>
      <c r="N451" s="244">
        <v>0.875</v>
      </c>
      <c r="O451" s="213" t="e">
        <v>#REF!</v>
      </c>
      <c r="P451" s="213" t="e">
        <v>#REF!</v>
      </c>
      <c r="Q451" s="214"/>
      <c r="T451" s="228">
        <f>VLOOKUP(Table2[[#This Row],[Course Title]],Data!$A$1:$E$56,4,FALSE)</f>
        <v>45</v>
      </c>
      <c r="U451" s="228">
        <f>VLOOKUP(Table2[[#This Row],[Course Title]],Data!$A$1:$E$56,5,FALSE)</f>
        <v>5</v>
      </c>
      <c r="V451" s="228"/>
      <c r="W451" s="218"/>
      <c r="X451" s="228"/>
      <c r="Y451" s="228"/>
      <c r="Z451" s="225"/>
      <c r="AA451" s="241">
        <f ca="1">Table2[[#This Row],[End Date]]+2-TODAY()</f>
        <v>165</v>
      </c>
      <c r="AB451" s="228">
        <f>IF(ISBLANK(#REF!),1,0)</f>
        <v>0</v>
      </c>
      <c r="AC451" s="225">
        <f ca="1">IF(Table2[[#This Row],[Start Date]]&gt;TODAY(),1,)</f>
        <v>1</v>
      </c>
    </row>
    <row r="452" spans="1:29" s="215" customFormat="1">
      <c r="B452" s="224" t="s">
        <v>312</v>
      </c>
      <c r="C452" s="225" t="str">
        <f>VLOOKUP(Table2[[#This Row],[Course Title]],Data!$A$1:$E$56,2,FALSE)</f>
        <v>A-493-2098</v>
      </c>
      <c r="D452" s="225" t="str">
        <f>VLOOKUP(Table2[[#This Row],[Course Title]],Data!$A$1:$E$56,3,FALSE)</f>
        <v>09WW</v>
      </c>
      <c r="E452" s="224" t="s">
        <v>116</v>
      </c>
      <c r="F452" s="226">
        <v>45558</v>
      </c>
      <c r="G452" s="226">
        <v>45562</v>
      </c>
      <c r="H452" s="226"/>
      <c r="I452" s="244">
        <v>0.54166666666666663</v>
      </c>
      <c r="J452" s="244">
        <v>0.41666666666666669</v>
      </c>
      <c r="K452" s="244">
        <v>0.83333333333333337</v>
      </c>
      <c r="L452" s="244">
        <v>0.75</v>
      </c>
      <c r="M452" s="244">
        <v>0.29166666666666669</v>
      </c>
      <c r="N452" s="244">
        <v>8.3333333333333329E-2</v>
      </c>
      <c r="O452" s="218" t="e">
        <v>#REF!</v>
      </c>
      <c r="P452" s="213" t="e">
        <v>#REF!</v>
      </c>
      <c r="Q452" s="218"/>
      <c r="T452" s="228">
        <f>VLOOKUP(Table2[[#This Row],[Course Title]],Data!$A$1:$E$56,4,FALSE)</f>
        <v>100</v>
      </c>
      <c r="U452" s="228">
        <f>VLOOKUP(Table2[[#This Row],[Course Title]],Data!$A$1:$E$56,5,FALSE)</f>
        <v>5</v>
      </c>
      <c r="V452" s="228"/>
      <c r="W452" s="218"/>
      <c r="X452" s="228"/>
      <c r="Y452" s="228"/>
      <c r="Z452" s="225"/>
      <c r="AA452" s="241">
        <f ca="1">Table2[[#This Row],[End Date]]+2-TODAY()</f>
        <v>165</v>
      </c>
      <c r="AB452" s="228">
        <f>IF(ISBLANK(#REF!),1,0)</f>
        <v>0</v>
      </c>
      <c r="AC452" s="225">
        <f ca="1">IF(Table2[[#This Row],[Start Date]]&gt;TODAY(),1,)</f>
        <v>1</v>
      </c>
    </row>
    <row r="453" spans="1:29" s="215" customFormat="1">
      <c r="B453" s="224" t="s">
        <v>15</v>
      </c>
      <c r="C453" s="225" t="str">
        <f>VLOOKUP(Table2[[#This Row],[Course Title]],Data!$A$1:$E$56,2,FALSE)</f>
        <v>A-493-0021</v>
      </c>
      <c r="D453" s="225" t="str">
        <f>VLOOKUP(Table2[[#This Row],[Course Title]],Data!$A$1:$E$56,3,FALSE)</f>
        <v>18BN</v>
      </c>
      <c r="E453" s="224" t="s">
        <v>140</v>
      </c>
      <c r="F453" s="226">
        <v>45558</v>
      </c>
      <c r="G453" s="226">
        <v>45562</v>
      </c>
      <c r="H453" s="227">
        <v>0.33333333333333331</v>
      </c>
      <c r="I453" s="227"/>
      <c r="J453" s="226"/>
      <c r="K453" s="226"/>
      <c r="L453" s="226"/>
      <c r="M453" s="226"/>
      <c r="N453" s="226"/>
      <c r="O453" s="218"/>
      <c r="P453" s="213"/>
      <c r="Q453" s="218"/>
      <c r="T453" s="218">
        <v>35</v>
      </c>
      <c r="U453" s="213">
        <v>5</v>
      </c>
      <c r="V453" s="218"/>
      <c r="W453" s="218"/>
      <c r="X453" s="228"/>
      <c r="Y453" s="228"/>
      <c r="Z453" s="225"/>
      <c r="AA453" s="241">
        <f ca="1">Table2[[#This Row],[End Date]]+2-TODAY()</f>
        <v>165</v>
      </c>
      <c r="AB453" s="228">
        <f>IF(ISBLANK(#REF!),1,0)</f>
        <v>0</v>
      </c>
      <c r="AC453" s="225">
        <f ca="1">IF(Table2[[#This Row],[Start Date]]&gt;TODAY(),1,)</f>
        <v>1</v>
      </c>
    </row>
    <row r="454" spans="1:29" s="215" customFormat="1">
      <c r="B454" s="224" t="s">
        <v>35</v>
      </c>
      <c r="C454" s="225" t="str">
        <f>VLOOKUP(Table2[[#This Row],[Course Title]],Data!$A$1:$E$56,2,FALSE)</f>
        <v>A-493-2501</v>
      </c>
      <c r="D454" s="225" t="str">
        <f>VLOOKUP(Table2[[#This Row],[Course Title]],Data!$A$1:$E$56,3,FALSE)</f>
        <v>05ZE</v>
      </c>
      <c r="E454" s="224" t="s">
        <v>139</v>
      </c>
      <c r="F454" s="226">
        <v>45559</v>
      </c>
      <c r="G454" s="226">
        <v>45559</v>
      </c>
      <c r="H454" s="227">
        <v>0.33333333333333331</v>
      </c>
      <c r="I454" s="227"/>
      <c r="J454" s="226"/>
      <c r="K454" s="226"/>
      <c r="L454" s="226"/>
      <c r="M454" s="226"/>
      <c r="N454" s="226"/>
      <c r="O454" s="218"/>
      <c r="P454" s="213"/>
      <c r="Q454" s="218"/>
      <c r="T454" s="218">
        <v>30</v>
      </c>
      <c r="U454" s="213">
        <v>1</v>
      </c>
      <c r="V454" s="218"/>
      <c r="W454" s="218"/>
      <c r="X454" s="228"/>
      <c r="Y454" s="228"/>
      <c r="Z454" s="225"/>
      <c r="AA454" s="241">
        <f ca="1">Table2[[#This Row],[End Date]]+2-TODAY()</f>
        <v>162</v>
      </c>
      <c r="AB454" s="228">
        <f>IF(ISBLANK(#REF!),1,0)</f>
        <v>0</v>
      </c>
      <c r="AC454" s="225">
        <f ca="1">IF(Table2[[#This Row],[Start Date]]&gt;TODAY(),1,)</f>
        <v>1</v>
      </c>
    </row>
    <row r="455" spans="1:29" s="215" customFormat="1">
      <c r="B455" s="224" t="s">
        <v>19</v>
      </c>
      <c r="C455" s="225" t="str">
        <f>VLOOKUP(Table2[[#This Row],[Course Title]],Data!$A$1:$E$56,2,FALSE)</f>
        <v>A-493-0099</v>
      </c>
      <c r="D455" s="225" t="str">
        <f>VLOOKUP(Table2[[#This Row],[Course Title]],Data!$A$1:$E$56,3,FALSE)</f>
        <v>12JW</v>
      </c>
      <c r="E455" s="224" t="s">
        <v>116</v>
      </c>
      <c r="F455" s="226">
        <v>45559</v>
      </c>
      <c r="G455" s="226">
        <v>45561</v>
      </c>
      <c r="H455" s="226"/>
      <c r="I455" s="244">
        <v>0.29166666666666669</v>
      </c>
      <c r="J455" s="244">
        <v>0.16666666666666666</v>
      </c>
      <c r="K455" s="244">
        <v>0.58333333333333337</v>
      </c>
      <c r="L455" s="244">
        <v>0.5</v>
      </c>
      <c r="M455" s="244">
        <v>4.1666666666666664E-2</v>
      </c>
      <c r="N455" s="244">
        <v>0.83333333333333337</v>
      </c>
      <c r="O455" s="213" t="e">
        <v>#REF!</v>
      </c>
      <c r="P455" s="213" t="e">
        <v>#REF!</v>
      </c>
      <c r="Q455" s="214"/>
      <c r="T455" s="228">
        <f>VLOOKUP(Table2[[#This Row],[Course Title]],Data!$A$1:$E$56,4,FALSE)</f>
        <v>45</v>
      </c>
      <c r="U455" s="228">
        <f>VLOOKUP(Table2[[#This Row],[Course Title]],Data!$A$1:$E$56,5,FALSE)</f>
        <v>3</v>
      </c>
      <c r="V455" s="228"/>
      <c r="W455" s="218"/>
      <c r="X455" s="228"/>
      <c r="Y455" s="228"/>
      <c r="Z455" s="225"/>
      <c r="AA455" s="241">
        <f ca="1">Table2[[#This Row],[End Date]]+2-TODAY()</f>
        <v>164</v>
      </c>
      <c r="AB455" s="228">
        <f>IF(ISBLANK(#REF!),1,0)</f>
        <v>0</v>
      </c>
      <c r="AC455" s="225">
        <f ca="1">IF(Table2[[#This Row],[Start Date]]&gt;TODAY(),1,)</f>
        <v>1</v>
      </c>
    </row>
    <row r="456" spans="1:29" s="215" customFormat="1">
      <c r="A456" s="224"/>
      <c r="B456" s="224" t="s">
        <v>284</v>
      </c>
      <c r="C456" s="225" t="str">
        <f>VLOOKUP(Table2[[#This Row],[Course Title]],Data!$A$1:$E$56,2,FALSE)</f>
        <v>A-493-0073</v>
      </c>
      <c r="D456" s="225" t="str">
        <f>VLOOKUP(Table2[[#This Row],[Course Title]],Data!$A$1:$E$56,3,FALSE)</f>
        <v>714S</v>
      </c>
      <c r="E456" s="224" t="s">
        <v>116</v>
      </c>
      <c r="F456" s="226">
        <v>45559</v>
      </c>
      <c r="G456" s="226">
        <v>45562</v>
      </c>
      <c r="H456" s="226"/>
      <c r="I456" s="244">
        <v>0.33333333333333331</v>
      </c>
      <c r="J456" s="244">
        <v>0.20833333333333334</v>
      </c>
      <c r="K456" s="244">
        <v>0.625</v>
      </c>
      <c r="L456" s="244">
        <v>0.54166666666666663</v>
      </c>
      <c r="M456" s="244">
        <v>8.3333333333333329E-2</v>
      </c>
      <c r="N456" s="244">
        <v>0.875</v>
      </c>
      <c r="O456" s="213" t="e">
        <v>#REF!</v>
      </c>
      <c r="P456" s="213" t="e">
        <v>#REF!</v>
      </c>
      <c r="Q456" s="214"/>
      <c r="T456" s="228">
        <f>VLOOKUP(Table2[[#This Row],[Course Title]],Data!$A$1:$E$56,4,FALSE)</f>
        <v>30</v>
      </c>
      <c r="U456" s="228">
        <f>VLOOKUP(Table2[[#This Row],[Course Title]],Data!$A$1:$E$56,5,FALSE)</f>
        <v>4</v>
      </c>
      <c r="V456" s="228"/>
      <c r="W456" s="218"/>
      <c r="X456" s="228"/>
      <c r="Y456" s="228"/>
      <c r="Z456" s="225"/>
      <c r="AA456" s="241">
        <f ca="1">Table2[[#This Row],[End Date]]+2-TODAY()</f>
        <v>165</v>
      </c>
      <c r="AB456" s="228">
        <f>IF(ISBLANK(#REF!),1,0)</f>
        <v>0</v>
      </c>
      <c r="AC456" s="225">
        <f ca="1">IF(Table2[[#This Row],[Start Date]]&gt;TODAY(),1,)</f>
        <v>1</v>
      </c>
    </row>
    <row r="457" spans="1:29" s="215" customFormat="1">
      <c r="A457" s="232" t="s">
        <v>494</v>
      </c>
      <c r="B457" s="224" t="s">
        <v>18</v>
      </c>
      <c r="C457" s="225" t="str">
        <f>VLOOKUP(Table2[[#This Row],[Course Title]],Data!$A$1:$E$56,2,FALSE)</f>
        <v>A-493-0013</v>
      </c>
      <c r="D457" s="225">
        <f>VLOOKUP(Table2[[#This Row],[Course Title]],Data!$A$1:$E$56,3,FALSE)</f>
        <v>3683</v>
      </c>
      <c r="E457" s="224" t="s">
        <v>221</v>
      </c>
      <c r="F457" s="226">
        <v>45559</v>
      </c>
      <c r="G457" s="226">
        <v>45560</v>
      </c>
      <c r="H457" s="227">
        <v>0.33333333333333331</v>
      </c>
      <c r="I457" s="227"/>
      <c r="J457" s="226"/>
      <c r="K457" s="226"/>
      <c r="L457" s="226"/>
      <c r="M457" s="226"/>
      <c r="N457" s="226"/>
      <c r="O457" s="218"/>
      <c r="P457" s="213"/>
      <c r="Q457" s="218"/>
      <c r="T457" s="218">
        <v>40</v>
      </c>
      <c r="U457" s="213">
        <v>2</v>
      </c>
      <c r="V457" s="218"/>
      <c r="W457" s="218"/>
      <c r="X457" s="228"/>
      <c r="Y457" s="228"/>
      <c r="Z457" s="225"/>
      <c r="AA457" s="241">
        <f ca="1">Table2[[#This Row],[End Date]]+2-TODAY()</f>
        <v>163</v>
      </c>
      <c r="AB457" s="228">
        <f>IF(ISBLANK(#REF!),1,0)</f>
        <v>0</v>
      </c>
      <c r="AC457" s="225">
        <f ca="1">IF(Table2[[#This Row],[Start Date]]&gt;TODAY(),1,)</f>
        <v>1</v>
      </c>
    </row>
    <row r="458" spans="1:29" s="215" customFormat="1">
      <c r="B458" s="224" t="s">
        <v>35</v>
      </c>
      <c r="C458" s="225" t="str">
        <f>VLOOKUP(Table2[[#This Row],[Course Title]],Data!$A$1:$E$56,2,FALSE)</f>
        <v>A-493-2501</v>
      </c>
      <c r="D458" s="225" t="str">
        <f>VLOOKUP(Table2[[#This Row],[Course Title]],Data!$A$1:$E$56,3,FALSE)</f>
        <v>05ZE</v>
      </c>
      <c r="E458" s="224" t="s">
        <v>118</v>
      </c>
      <c r="F458" s="226">
        <v>45560</v>
      </c>
      <c r="G458" s="226">
        <v>45560</v>
      </c>
      <c r="H458" s="227">
        <v>0.33333333333333331</v>
      </c>
      <c r="I458" s="227"/>
      <c r="J458" s="226"/>
      <c r="K458" s="226"/>
      <c r="L458" s="226"/>
      <c r="M458" s="226"/>
      <c r="N458" s="226"/>
      <c r="O458" s="218"/>
      <c r="P458" s="213"/>
      <c r="Q458" s="218"/>
      <c r="T458" s="218">
        <v>30</v>
      </c>
      <c r="U458" s="213">
        <v>1</v>
      </c>
      <c r="V458" s="218"/>
      <c r="W458" s="218"/>
      <c r="X458" s="228"/>
      <c r="Y458" s="228"/>
      <c r="Z458" s="225"/>
      <c r="AA458" s="241">
        <f ca="1">Table2[[#This Row],[End Date]]+2-TODAY()</f>
        <v>163</v>
      </c>
      <c r="AB458" s="228">
        <f>IF(ISBLANK(#REF!),1,0)</f>
        <v>0</v>
      </c>
      <c r="AC458" s="225">
        <f ca="1">IF(Table2[[#This Row],[Start Date]]&gt;TODAY(),1,)</f>
        <v>1</v>
      </c>
    </row>
    <row r="459" spans="1:29" s="215" customFormat="1">
      <c r="B459" s="224" t="s">
        <v>26</v>
      </c>
      <c r="C459" s="225" t="str">
        <f>VLOOKUP(Table2[[#This Row],[Course Title]],Data!$A$1:$E$56,2,FALSE)</f>
        <v>A-493-2301</v>
      </c>
      <c r="D459" s="225" t="str">
        <f>VLOOKUP(Table2[[#This Row],[Course Title]],Data!$A$1:$E$56,3,FALSE)</f>
        <v>05ZD</v>
      </c>
      <c r="E459" s="224" t="s">
        <v>147</v>
      </c>
      <c r="F459" s="226">
        <v>45560</v>
      </c>
      <c r="G459" s="226">
        <v>45560</v>
      </c>
      <c r="H459" s="227">
        <v>0.33333333333333331</v>
      </c>
      <c r="I459" s="227"/>
      <c r="J459" s="226"/>
      <c r="K459" s="226"/>
      <c r="L459" s="226"/>
      <c r="M459" s="226"/>
      <c r="N459" s="226"/>
      <c r="O459" s="218" t="e">
        <v>#REF!</v>
      </c>
      <c r="P459" s="213" t="e">
        <v>#REF!</v>
      </c>
      <c r="Q459" s="218"/>
      <c r="T459" s="228">
        <f>VLOOKUP(Table2[[#This Row],[Course Title]],Data!$A$1:$E$56,4,FALSE)</f>
        <v>30</v>
      </c>
      <c r="U459" s="228">
        <f>VLOOKUP(Table2[[#This Row],[Course Title]],Data!$A$1:$E$56,5,FALSE)</f>
        <v>1</v>
      </c>
      <c r="V459" s="228"/>
      <c r="W459" s="218"/>
      <c r="X459" s="228"/>
      <c r="Y459" s="228"/>
      <c r="Z459" s="225"/>
      <c r="AA459" s="241">
        <f ca="1">Table2[[#This Row],[End Date]]+2-TODAY()</f>
        <v>163</v>
      </c>
      <c r="AB459" s="228">
        <f>IF(ISBLANK(#REF!),1,0)</f>
        <v>0</v>
      </c>
      <c r="AC459" s="225">
        <f ca="1">IF(Table2[[#This Row],[Start Date]]&gt;TODAY(),1,)</f>
        <v>1</v>
      </c>
    </row>
    <row r="460" spans="1:29" s="215" customFormat="1">
      <c r="B460" s="224" t="s">
        <v>35</v>
      </c>
      <c r="C460" s="225" t="str">
        <f>VLOOKUP(Table2[[#This Row],[Course Title]],Data!$A$1:$E$56,2,FALSE)</f>
        <v>A-493-2501</v>
      </c>
      <c r="D460" s="225" t="str">
        <f>VLOOKUP(Table2[[#This Row],[Course Title]],Data!$A$1:$E$56,3,FALSE)</f>
        <v>05ZE</v>
      </c>
      <c r="E460" s="232" t="s">
        <v>131</v>
      </c>
      <c r="F460" s="226">
        <v>45561</v>
      </c>
      <c r="G460" s="226">
        <v>45561</v>
      </c>
      <c r="H460" s="227">
        <v>0.33333333333333331</v>
      </c>
      <c r="I460" s="227"/>
      <c r="J460" s="226"/>
      <c r="K460" s="226"/>
      <c r="L460" s="226"/>
      <c r="M460" s="226"/>
      <c r="N460" s="226"/>
      <c r="O460" s="218" t="e">
        <v>#REF!</v>
      </c>
      <c r="P460" s="213" t="e">
        <v>#REF!</v>
      </c>
      <c r="Q460" s="218"/>
      <c r="T460" s="228">
        <f>VLOOKUP(Table2[[#This Row],[Course Title]],Data!$A$1:$E$56,4,FALSE)</f>
        <v>30</v>
      </c>
      <c r="U460" s="228">
        <f>VLOOKUP(Table2[[#This Row],[Course Title]],Data!$A$1:$E$56,5,FALSE)</f>
        <v>1</v>
      </c>
      <c r="V460" s="228"/>
      <c r="W460" s="218"/>
      <c r="X460" s="228"/>
      <c r="Y460" s="228"/>
      <c r="Z460" s="225"/>
      <c r="AA460" s="241">
        <f ca="1">Table2[[#This Row],[End Date]]+2-TODAY()</f>
        <v>164</v>
      </c>
      <c r="AB460" s="228">
        <f>IF(ISBLANK(#REF!),1,0)</f>
        <v>0</v>
      </c>
      <c r="AC460" s="225">
        <f ca="1">IF(Table2[[#This Row],[Start Date]]&gt;TODAY(),1,)</f>
        <v>1</v>
      </c>
    </row>
    <row r="461" spans="1:29" s="215" customFormat="1">
      <c r="B461" s="224" t="s">
        <v>26</v>
      </c>
      <c r="C461" s="225" t="str">
        <f>VLOOKUP(Table2[[#This Row],[Course Title]],Data!$A$1:$E$56,2,FALSE)</f>
        <v>A-493-2301</v>
      </c>
      <c r="D461" s="225" t="str">
        <f>VLOOKUP(Table2[[#This Row],[Course Title]],Data!$A$1:$E$56,3,FALSE)</f>
        <v>05ZD</v>
      </c>
      <c r="E461" s="224" t="s">
        <v>151</v>
      </c>
      <c r="F461" s="226">
        <v>45561</v>
      </c>
      <c r="G461" s="226">
        <v>45561</v>
      </c>
      <c r="H461" s="227">
        <v>0.33333333333333331</v>
      </c>
      <c r="I461" s="227"/>
      <c r="J461" s="226"/>
      <c r="K461" s="226"/>
      <c r="L461" s="226"/>
      <c r="M461" s="226"/>
      <c r="N461" s="226"/>
      <c r="O461" s="218" t="e">
        <v>#REF!</v>
      </c>
      <c r="P461" s="213" t="e">
        <v>#REF!</v>
      </c>
      <c r="Q461" s="218"/>
      <c r="T461" s="228">
        <f>VLOOKUP(Table2[[#This Row],[Course Title]],Data!$A$1:$E$56,4,FALSE)</f>
        <v>30</v>
      </c>
      <c r="U461" s="228">
        <f>VLOOKUP(Table2[[#This Row],[Course Title]],Data!$A$1:$E$56,5,FALSE)</f>
        <v>1</v>
      </c>
      <c r="V461" s="228"/>
      <c r="W461" s="218"/>
      <c r="X461" s="228"/>
      <c r="Y461" s="228"/>
      <c r="Z461" s="228"/>
      <c r="AA461" s="229">
        <f ca="1">Table2[[#This Row],[End Date]]+2-TODAY()</f>
        <v>164</v>
      </c>
      <c r="AB461" s="228">
        <f>IF(ISBLANK(#REF!),1,0)</f>
        <v>0</v>
      </c>
      <c r="AC461" s="228">
        <f ca="1">IF(Table2[[#This Row],[Start Date]]&gt;TODAY(),1,)</f>
        <v>1</v>
      </c>
    </row>
    <row r="462" spans="1:29" s="215" customFormat="1">
      <c r="B462" s="224" t="s">
        <v>27</v>
      </c>
      <c r="C462" s="225" t="str">
        <f>VLOOKUP(Table2[[#This Row],[Course Title]],Data!$A$1:$E$56,2,FALSE)</f>
        <v>A-493-0216</v>
      </c>
      <c r="D462" s="225" t="str">
        <f>VLOOKUP(Table2[[#This Row],[Course Title]],Data!$A$1:$E$56,3,FALSE)</f>
        <v>12X8</v>
      </c>
      <c r="E462" s="224" t="s">
        <v>147</v>
      </c>
      <c r="F462" s="226">
        <v>45561</v>
      </c>
      <c r="G462" s="226">
        <v>45561</v>
      </c>
      <c r="H462" s="227">
        <v>0.33333333333333331</v>
      </c>
      <c r="I462" s="227"/>
      <c r="J462" s="226"/>
      <c r="K462" s="226"/>
      <c r="L462" s="226"/>
      <c r="M462" s="226"/>
      <c r="N462" s="226"/>
      <c r="O462" s="218" t="e">
        <v>#REF!</v>
      </c>
      <c r="P462" s="213" t="e">
        <v>#REF!</v>
      </c>
      <c r="Q462" s="218"/>
      <c r="T462" s="228">
        <f>VLOOKUP(Table2[[#This Row],[Course Title]],Data!$A$1:$E$56,4,FALSE)</f>
        <v>30</v>
      </c>
      <c r="U462" s="228">
        <f>VLOOKUP(Table2[[#This Row],[Course Title]],Data!$A$1:$E$56,5,FALSE)</f>
        <v>1</v>
      </c>
      <c r="V462" s="228"/>
      <c r="W462" s="218"/>
      <c r="X462" s="228"/>
      <c r="Y462" s="228"/>
      <c r="Z462" s="225"/>
      <c r="AA462" s="241">
        <f ca="1">Table2[[#This Row],[End Date]]+2-TODAY()</f>
        <v>164</v>
      </c>
      <c r="AB462" s="228">
        <f>IF(ISBLANK(#REF!),1,0)</f>
        <v>0</v>
      </c>
      <c r="AC462" s="225">
        <f ca="1">IF(Table2[[#This Row],[Start Date]]&gt;TODAY(),1,)</f>
        <v>1</v>
      </c>
    </row>
    <row r="463" spans="1:29" s="215" customFormat="1">
      <c r="B463" s="224" t="s">
        <v>35</v>
      </c>
      <c r="C463" s="225" t="str">
        <f>VLOOKUP(Table2[[#This Row],[Course Title]],Data!$A$1:$E$56,2,FALSE)</f>
        <v>A-493-2501</v>
      </c>
      <c r="D463" s="225" t="str">
        <f>VLOOKUP(Table2[[#This Row],[Course Title]],Data!$A$1:$E$56,3,FALSE)</f>
        <v>05ZE</v>
      </c>
      <c r="E463" s="224" t="s">
        <v>151</v>
      </c>
      <c r="F463" s="226">
        <v>45562</v>
      </c>
      <c r="G463" s="226">
        <v>45562</v>
      </c>
      <c r="H463" s="227">
        <v>0.33333333333333331</v>
      </c>
      <c r="I463" s="227"/>
      <c r="J463" s="226"/>
      <c r="K463" s="226"/>
      <c r="L463" s="226"/>
      <c r="M463" s="226"/>
      <c r="N463" s="226"/>
      <c r="O463" s="218"/>
      <c r="P463" s="213"/>
      <c r="Q463" s="218"/>
      <c r="T463" s="218">
        <v>30</v>
      </c>
      <c r="U463" s="213">
        <v>1</v>
      </c>
      <c r="V463" s="218"/>
      <c r="W463" s="218"/>
      <c r="X463" s="228"/>
      <c r="Y463" s="228"/>
      <c r="Z463" s="225"/>
      <c r="AA463" s="241">
        <f ca="1">Table2[[#This Row],[End Date]]+2-TODAY()</f>
        <v>165</v>
      </c>
      <c r="AB463" s="228">
        <f>IF(ISBLANK(#REF!),1,0)</f>
        <v>0</v>
      </c>
      <c r="AC463" s="225">
        <f ca="1">IF(Table2[[#This Row],[Start Date]]&gt;TODAY(),1,)</f>
        <v>1</v>
      </c>
    </row>
    <row r="464" spans="1:29" s="215" customFormat="1" ht="15.75" thickBot="1">
      <c r="A464" s="275"/>
      <c r="B464" s="275"/>
      <c r="C464" s="276" t="e">
        <f>VLOOKUP(Table2[[#This Row],[Course Title]],Data!$A$1:$E$56,2,FALSE)</f>
        <v>#N/A</v>
      </c>
      <c r="D464" s="276" t="e">
        <f>VLOOKUP(Table2[[#This Row],[Course Title]],Data!$A$1:$E$56,3,FALSE)</f>
        <v>#N/A</v>
      </c>
      <c r="E464" s="224"/>
      <c r="F464" s="226"/>
      <c r="G464" s="226"/>
      <c r="H464" s="227"/>
      <c r="I464" s="227"/>
      <c r="J464" s="277"/>
      <c r="K464" s="277"/>
      <c r="L464" s="277"/>
      <c r="M464" s="277"/>
      <c r="N464" s="277"/>
      <c r="O464" s="278"/>
      <c r="P464" s="279"/>
      <c r="Q464" s="278"/>
      <c r="R464" s="280"/>
      <c r="S464" s="280"/>
      <c r="T464" s="218"/>
      <c r="U464" s="213"/>
      <c r="V464" s="278"/>
      <c r="W464" s="218"/>
      <c r="X464" s="228"/>
      <c r="Y464" s="228"/>
      <c r="Z464" s="228"/>
      <c r="AA464" s="229">
        <f ca="1">Table2[[#This Row],[End Date]]+2-TODAY()</f>
        <v>-45397</v>
      </c>
      <c r="AB464" s="228">
        <f>IF(ISBLANK(#REF!),1,0)</f>
        <v>0</v>
      </c>
      <c r="AC464" s="228">
        <f ca="1">IF(Table2[[#This Row],[Start Date]]&gt;TODAY(),1,)</f>
        <v>0</v>
      </c>
    </row>
    <row r="465" spans="1:29" ht="15.75" thickTop="1">
      <c r="A465" s="152" t="s">
        <v>58</v>
      </c>
      <c r="B465" s="152">
        <f>SUBTOTAL(103,Table2[Course Title])</f>
        <v>460</v>
      </c>
      <c r="C465" s="152"/>
      <c r="D465" s="152"/>
      <c r="E465" s="152"/>
      <c r="F465" s="153"/>
      <c r="G465" s="153"/>
      <c r="H465" s="152"/>
      <c r="I465" s="152"/>
      <c r="J465" s="152"/>
      <c r="K465" s="152"/>
      <c r="L465" s="152"/>
      <c r="M465" s="152"/>
      <c r="N465" s="152"/>
      <c r="O465" s="123"/>
      <c r="P465" s="123"/>
      <c r="Q465" s="123"/>
      <c r="R465" s="123"/>
      <c r="S465" s="123"/>
      <c r="T465" s="124">
        <f>SUBTOTAL(109,T4:T464)</f>
        <v>16280</v>
      </c>
      <c r="U465" s="124">
        <f>SUBTOTAL(109,Table2[Course Length (Days)])</f>
        <v>1581</v>
      </c>
      <c r="V465" s="124">
        <f>SUBTOTAL(109,V4:V464)</f>
        <v>4909</v>
      </c>
      <c r="W465" s="152"/>
      <c r="X465" s="152">
        <f>SUM(X4:X464)</f>
        <v>917</v>
      </c>
      <c r="Y465" s="152"/>
      <c r="Z465" s="152"/>
      <c r="AA465" s="154"/>
      <c r="AB465" s="152"/>
      <c r="AC465" s="152"/>
    </row>
  </sheetData>
  <protectedRanges>
    <protectedRange algorithmName="SHA-512" hashValue="n6K25g9uzAcpntxjqTQaPVdKX1eij75CLB1gBuUNBybVL5B3VaxVW/Tcen54TXijIel0fCN9KO3xZiLZCJMSZw==" saltValue="89UdTK4UUElaUoKBccfOYw==" spinCount="100000" sqref="C3:D3" name="CIN CDP"/>
    <protectedRange algorithmName="SHA-512" hashValue="n6K25g9uzAcpntxjqTQaPVdKX1eij75CLB1gBuUNBybVL5B3VaxVW/Tcen54TXijIel0fCN9KO3xZiLZCJMSZw==" saltValue="89UdTK4UUElaUoKBccfOYw==" spinCount="100000" sqref="C4:D103 C109:D189 C191:D464" name="CIN CDP_1"/>
    <protectedRange algorithmName="SHA-512" hashValue="n6K25g9uzAcpntxjqTQaPVdKX1eij75CLB1gBuUNBybVL5B3VaxVW/Tcen54TXijIel0fCN9KO3xZiLZCJMSZw==" saltValue="89UdTK4UUElaUoKBccfOYw==" spinCount="100000" sqref="C104:D105" name="CIN CDP_1_1"/>
    <protectedRange algorithmName="SHA-512" hashValue="n6K25g9uzAcpntxjqTQaPVdKX1eij75CLB1gBuUNBybVL5B3VaxVW/Tcen54TXijIel0fCN9KO3xZiLZCJMSZw==" saltValue="89UdTK4UUElaUoKBccfOYw==" spinCount="100000" sqref="C106:D107" name="CIN CDP_2"/>
    <protectedRange algorithmName="SHA-512" hashValue="n6K25g9uzAcpntxjqTQaPVdKX1eij75CLB1gBuUNBybVL5B3VaxVW/Tcen54TXijIel0fCN9KO3xZiLZCJMSZw==" saltValue="89UdTK4UUElaUoKBccfOYw==" spinCount="100000" sqref="C108:D108" name="CIN CDP_3"/>
    <protectedRange algorithmName="SHA-512" hashValue="n6K25g9uzAcpntxjqTQaPVdKX1eij75CLB1gBuUNBybVL5B3VaxVW/Tcen54TXijIel0fCN9KO3xZiLZCJMSZw==" saltValue="89UdTK4UUElaUoKBccfOYw==" spinCount="100000" sqref="C190:D190" name="CIN CDP_1_1_2"/>
  </protectedRanges>
  <phoneticPr fontId="2" type="noConversion"/>
  <conditionalFormatting sqref="A34:A35 Q34:Q74 A36:B36 A37 A38:B39 J39:N44 A40:A43 F41:G44 A44:B54 E45:G45 F46:G46 E47:G48 F49:G49 F50:H50 J51:N51 F51:F52 E53:F53 J53:N53 E54:H54 A55:A57 E58 E59:F63 A59:A67 F64 E65:F66 A69:A71 B70 J75:N75 Q75:S76 A76:A77 B86 A86:A87 Q88 A98:B98 E109:G109 A112 A122 A132:A136 Q132:Q144 A138:A144 A146:A148 Q146:Q148 J150:N150 A150:A158 J152:N153 E155:E159 J157:N157 B158:B159 A160:A179 B161:B163 B165:B180 J166:N170 J173:N173 E175:E176 J175:N176 E178:E180 A181:B181 J182:N182 B182:B189 E182:E189 A183:A184 J184:N185 A186 J188:N189 J191:N194 E191:E198 B191:B199 Q192:S198 A193:A197 F194:G194 F196:H198 E200:E206 Q200:S207 A200:B208 E208 Q208 B209:B210 A209:A223 Q209:S232 B216 A225:A239 B226:B228 B231 Q233 Q234:S245 B235 A241:A245 J245:N245 A249 A276 A287 A294 E295:E302 Q302 E304:E317 F306:H306 F308:H308 Q316:Q318 E319:E322 A322 A335 A378 E388:E393 E395:E400 M401:N401 E402:E404 E406:E409 Q408 A417 E418:E425 A423 A428 Q435 A190:B190">
    <cfRule type="expression" dxfId="214" priority="568">
      <formula>$W34="Benzick, Sue"</formula>
    </cfRule>
    <cfRule type="expression" dxfId="213" priority="569">
      <formula>$W34="Jenne, Richard"</formula>
    </cfRule>
    <cfRule type="expression" dxfId="212" priority="570">
      <formula>$W34="McQueen, Jennifer"</formula>
    </cfRule>
  </conditionalFormatting>
  <conditionalFormatting sqref="E162">
    <cfRule type="expression" dxfId="211" priority="25">
      <formula>#REF!="Benzick, Sue"</formula>
    </cfRule>
    <cfRule type="expression" dxfId="210" priority="26">
      <formula>#REF!="Jenne, Richard"</formula>
    </cfRule>
    <cfRule type="expression" dxfId="209" priority="27">
      <formula>#REF!="McQueen, Jennifer"</formula>
    </cfRule>
  </conditionalFormatting>
  <conditionalFormatting sqref="E110:G113 E114:H114 E124:H124 F125:G125">
    <cfRule type="expression" dxfId="208" priority="349">
      <formula>#REF!="Benzick, Sue"</formula>
    </cfRule>
    <cfRule type="expression" dxfId="207" priority="350">
      <formula>#REF!="Jenne, Richard"</formula>
    </cfRule>
    <cfRule type="expression" dxfId="206" priority="351">
      <formula>#REF!="McQueen, Jennifer"</formula>
    </cfRule>
  </conditionalFormatting>
  <conditionalFormatting sqref="E116:G117">
    <cfRule type="expression" dxfId="205" priority="340">
      <formula>#REF!="Benzick, Sue"</formula>
    </cfRule>
    <cfRule type="expression" dxfId="204" priority="341">
      <formula>#REF!="Jenne, Richard"</formula>
    </cfRule>
    <cfRule type="expression" dxfId="203" priority="342">
      <formula>#REF!="McQueen, Jennifer"</formula>
    </cfRule>
  </conditionalFormatting>
  <conditionalFormatting sqref="E119:G123 E207:G207 E218:I218 H220:I226 H228:I228 H229 H230:I235 H240:I242 I243 H244:I245 H248:I254 H263:I265 H281:I281 H282 H283:I287 H295:I295">
    <cfRule type="expression" dxfId="202" priority="334">
      <formula>#REF!="Benzick, Sue"</formula>
    </cfRule>
    <cfRule type="expression" dxfId="201" priority="335">
      <formula>#REF!="Jenne, Richard"</formula>
    </cfRule>
  </conditionalFormatting>
  <conditionalFormatting sqref="E119:G123 E207:G207 H220:I226 H228:I228 H229 H230:I235 I243 H244:I245 H248:I254 H263:I265 H281:I281 H282 H283:I287 H295:I295">
    <cfRule type="expression" dxfId="200" priority="336">
      <formula>#REF!="McQueen, Jennifer"</formula>
    </cfRule>
  </conditionalFormatting>
  <conditionalFormatting sqref="E129:G130">
    <cfRule type="expression" dxfId="199" priority="325">
      <formula>#REF!="Benzick, Sue"</formula>
    </cfRule>
    <cfRule type="expression" dxfId="198" priority="326">
      <formula>#REF!="Jenne, Richard"</formula>
    </cfRule>
    <cfRule type="expression" dxfId="197" priority="327">
      <formula>#REF!="McQueen, Jennifer"</formula>
    </cfRule>
  </conditionalFormatting>
  <conditionalFormatting sqref="E224:G226">
    <cfRule type="expression" dxfId="196" priority="304">
      <formula>#REF!="Benzick, Sue"</formula>
    </cfRule>
    <cfRule type="expression" dxfId="195" priority="305">
      <formula>#REF!="Jenne, Richard"</formula>
    </cfRule>
    <cfRule type="expression" dxfId="194" priority="306">
      <formula>#REF!="McQueen, Jennifer"</formula>
    </cfRule>
  </conditionalFormatting>
  <conditionalFormatting sqref="E451:G451 E464:G464">
    <cfRule type="expression" dxfId="193" priority="277">
      <formula>#REF!="Benzick, Sue"</formula>
    </cfRule>
    <cfRule type="expression" dxfId="192" priority="278">
      <formula>#REF!="Jenne, Richard"</formula>
    </cfRule>
    <cfRule type="expression" dxfId="191" priority="279">
      <formula>#REF!="McQueen, Jennifer"</formula>
    </cfRule>
  </conditionalFormatting>
  <conditionalFormatting sqref="E118:H118">
    <cfRule type="expression" dxfId="190" priority="343">
      <formula>#REF!="Benzick, Sue"</formula>
    </cfRule>
    <cfRule type="expression" dxfId="189" priority="344">
      <formula>#REF!="Jenne, Richard"</formula>
    </cfRule>
    <cfRule type="expression" dxfId="188" priority="345">
      <formula>#REF!="McQueen, Jennifer"</formula>
    </cfRule>
  </conditionalFormatting>
  <conditionalFormatting sqref="E127:H128">
    <cfRule type="expression" dxfId="187" priority="346">
      <formula>#REF!="Benzick, Sue"</formula>
    </cfRule>
    <cfRule type="expression" dxfId="186" priority="347">
      <formula>#REF!="Jenne, Richard"</formula>
    </cfRule>
    <cfRule type="expression" dxfId="185" priority="348">
      <formula>#REF!="McQueen, Jennifer"</formula>
    </cfRule>
  </conditionalFormatting>
  <conditionalFormatting sqref="E131:H132 E133:G133">
    <cfRule type="expression" dxfId="184" priority="328">
      <formula>#REF!="Benzick, Sue"</formula>
    </cfRule>
    <cfRule type="expression" dxfId="183" priority="329">
      <formula>#REF!="Jenne, Richard"</formula>
    </cfRule>
    <cfRule type="expression" dxfId="182" priority="330">
      <formula>#REF!="McQueen, Jennifer"</formula>
    </cfRule>
  </conditionalFormatting>
  <conditionalFormatting sqref="E134:H134 E138:H138 F139:I139 E140:I140 H141:I143 H146:I153 H155:I155 H157:I157 H162:I162 H169 H170:I170 H173:I173 H175:I176 H178:I178 H180:I182 H185:I185 I192 H193:I194 H195 H199">
    <cfRule type="expression" dxfId="181" priority="331">
      <formula>#REF!="Benzick, Sue"</formula>
    </cfRule>
    <cfRule type="expression" dxfId="180" priority="332">
      <formula>#REF!="Jenne, Richard"</formula>
    </cfRule>
    <cfRule type="expression" dxfId="179" priority="333">
      <formula>#REF!="McQueen, Jennifer"</formula>
    </cfRule>
  </conditionalFormatting>
  <conditionalFormatting sqref="E208:H208 E209:G213 F214:G214 E215:G215 E216:I216 E219:H219 E222:G222 F223:G223 H238:I238 H256:I256 H258:I258 H270:I271 H276:I276 H278:I279 H289:I289 H294:N294">
    <cfRule type="expression" dxfId="178" priority="319">
      <formula>#REF!="Benzick, Sue"</formula>
    </cfRule>
    <cfRule type="expression" dxfId="177" priority="320">
      <formula>#REF!="Jenne, Richard"</formula>
    </cfRule>
  </conditionalFormatting>
  <conditionalFormatting sqref="E208:H208 E209:G213 F214:G214 E215:G215 E216:I218 E219:H219 E222:G222 F223:G223 H238:I242 H256:I256 H258:I258 H270:I271 H276:I276 H278:I279 H289:I289 H294:N294">
    <cfRule type="expression" dxfId="176" priority="321">
      <formula>#REF!="McQueen, Jennifer"</formula>
    </cfRule>
  </conditionalFormatting>
  <conditionalFormatting sqref="E227:H227">
    <cfRule type="expression" dxfId="175" priority="307">
      <formula>#REF!="Benzick, Sue"</formula>
    </cfRule>
    <cfRule type="expression" dxfId="174" priority="308">
      <formula>#REF!="Jenne, Richard"</formula>
    </cfRule>
    <cfRule type="expression" dxfId="173" priority="309">
      <formula>#REF!="McQueen, Jennifer"</formula>
    </cfRule>
  </conditionalFormatting>
  <conditionalFormatting sqref="E115:I115 H116:I116 H117 H121:I123">
    <cfRule type="expression" dxfId="172" priority="337">
      <formula>#REF!="Benzick, Sue"</formula>
    </cfRule>
    <cfRule type="expression" dxfId="171" priority="338">
      <formula>#REF!="Jenne, Richard"</formula>
    </cfRule>
    <cfRule type="expression" dxfId="170" priority="339">
      <formula>#REF!="McQueen, Jennifer"</formula>
    </cfRule>
  </conditionalFormatting>
  <conditionalFormatting sqref="F161 F167:F168 F171">
    <cfRule type="expression" dxfId="169" priority="232">
      <formula>$V162="Benzick, Sue"</formula>
    </cfRule>
    <cfRule type="expression" dxfId="168" priority="233">
      <formula>$V162="Jenne, Richard"</formula>
    </cfRule>
    <cfRule type="expression" dxfId="167" priority="234">
      <formula>$V162="McQueen, Jennifer"</formula>
    </cfRule>
  </conditionalFormatting>
  <conditionalFormatting sqref="F162:F163 F172">
    <cfRule type="expression" dxfId="166" priority="229">
      <formula>$V164="Benzick, Sue"</formula>
    </cfRule>
    <cfRule type="expression" dxfId="165" priority="230">
      <formula>$V164="Jenne, Richard"</formula>
    </cfRule>
    <cfRule type="expression" dxfId="164" priority="231">
      <formula>$V164="McQueen, Jennifer"</formula>
    </cfRule>
  </conditionalFormatting>
  <conditionalFormatting sqref="F170">
    <cfRule type="expression" dxfId="163" priority="214">
      <formula>#REF!="Benzick, Sue"</formula>
    </cfRule>
    <cfRule type="expression" dxfId="162" priority="215">
      <formula>#REF!="Jenne, Richard"</formula>
    </cfRule>
    <cfRule type="expression" dxfId="161" priority="216">
      <formula>#REF!="McQueen, Jennifer"</formula>
    </cfRule>
  </conditionalFormatting>
  <conditionalFormatting sqref="F174">
    <cfRule type="expression" dxfId="160" priority="211">
      <formula>$V178="Benzick, Sue"</formula>
    </cfRule>
    <cfRule type="expression" dxfId="159" priority="212">
      <formula>$V178="Jenne, Richard"</formula>
    </cfRule>
    <cfRule type="expression" dxfId="158" priority="213">
      <formula>$V178="McQueen, Jennifer"</formula>
    </cfRule>
  </conditionalFormatting>
  <conditionalFormatting sqref="F201 F203">
    <cfRule type="expression" dxfId="157" priority="364">
      <formula>$W202="Benzick, Sue"</formula>
    </cfRule>
    <cfRule type="expression" dxfId="156" priority="365">
      <formula>$W202="Jenne, Richard"</formula>
    </cfRule>
    <cfRule type="expression" dxfId="155" priority="366">
      <formula>$W202="McQueen, Jennifer"</formula>
    </cfRule>
  </conditionalFormatting>
  <conditionalFormatting sqref="F202">
    <cfRule type="expression" dxfId="154" priority="5747">
      <formula>#REF!="Benzick, Sue"</formula>
    </cfRule>
    <cfRule type="expression" dxfId="153" priority="5748">
      <formula>#REF!="Jenne, Richard"</formula>
    </cfRule>
    <cfRule type="expression" dxfId="152" priority="5749">
      <formula>#REF!="McQueen, Jennifer"</formula>
    </cfRule>
  </conditionalFormatting>
  <conditionalFormatting sqref="F309">
    <cfRule type="expression" dxfId="151" priority="4760">
      <formula>#REF!="Benzick, Sue"</formula>
    </cfRule>
    <cfRule type="expression" dxfId="150" priority="4761">
      <formula>#REF!="Jenne, Richard"</formula>
    </cfRule>
    <cfRule type="expression" dxfId="149" priority="4762">
      <formula>#REF!="McQueen, Jennifer"</formula>
    </cfRule>
  </conditionalFormatting>
  <conditionalFormatting sqref="F67:G67 E68:H68 E86:F86 F87 E89:F89 E97:F98 E104 F143:G143 F158:F159 J226:M226">
    <cfRule type="expression" dxfId="148" priority="496">
      <formula>$U67="Benzick, Sue"</formula>
    </cfRule>
    <cfRule type="expression" dxfId="147" priority="497">
      <formula>$U67="Jenne, Richard"</formula>
    </cfRule>
    <cfRule type="expression" dxfId="146" priority="498">
      <formula>$U67="McQueen, Jennifer"</formula>
    </cfRule>
  </conditionalFormatting>
  <conditionalFormatting sqref="F170:G170">
    <cfRule type="expression" dxfId="145" priority="226">
      <formula>#REF!="Benzick, Sue"</formula>
    </cfRule>
    <cfRule type="expression" dxfId="144" priority="227">
      <formula>#REF!="Jenne, Richard"</formula>
    </cfRule>
    <cfRule type="expression" dxfId="143" priority="228">
      <formula>#REF!="McQueen, Jennifer"</formula>
    </cfRule>
  </conditionalFormatting>
  <conditionalFormatting sqref="F303:H303 H404:I408 H409">
    <cfRule type="expression" dxfId="142" priority="301">
      <formula>#REF!="Benzick, Sue"</formula>
    </cfRule>
    <cfRule type="expression" dxfId="141" priority="302">
      <formula>#REF!="Jenne, Richard"</formula>
    </cfRule>
    <cfRule type="expression" dxfId="140" priority="303">
      <formula>#REF!="McQueen, Jennifer"</formula>
    </cfRule>
  </conditionalFormatting>
  <conditionalFormatting sqref="F388:H388 F390:H390 F394:H395 F396:G397 F398:H400 F401:I401 F402:H403 F404:G405 H410:I410 H412:I415">
    <cfRule type="expression" dxfId="139" priority="292">
      <formula>#REF!="Benzick, Sue"</formula>
    </cfRule>
    <cfRule type="expression" dxfId="138" priority="293">
      <formula>#REF!="Jenne, Richard"</formula>
    </cfRule>
    <cfRule type="expression" dxfId="137" priority="294">
      <formula>#REF!="McQueen, Jennifer"</formula>
    </cfRule>
  </conditionalFormatting>
  <conditionalFormatting sqref="G4:I4 H5:I11 H12:N12 J13:N13 H13:I16 H17:N17 H18:I31 G32:I35 G36:N36 G37:I37 F38:I38 F39:G40 H39:I44 H45:N49 I50:N50 H51:I53 I54:N54 I55 H56:I58 I61 H62:I67 J65:N65 J67:N68 I68:N69 H69 H70:I71 I72:N73 H74:I75 I76:N76 H77:I78 I79:N81 H82:I82 I83:N83 H84:I88 H89:N91 I92:N93 H93 H94:I98 H99 H100:I100 I101:N102 H103:I104 I105:N106 H107:I113 I114:N114 I118:N120 I124:N124 H125:I125 E126:I126 I127:N128 I131:N132 I134:N135 E135:G135 I138:N138 I144:N144 I154 I156:N156 I158:N161 I163:N165 H166:I168 I171:N172 H174:N174 I177:N177 H179:N179 I181:N181 I186:N187 H188:I189 H191:I191 I196:N198 I200:N200 I202:N206 H208:N208 H211 H214:N214 E217:I217 I219 I227 I236:N237 H239:I239 I246:N247 I257:N257 I259:N261 I262 I266:N269 I272:N275 I277:N277 I280:N280 I288:N288 I290:N291 I293:N293 I297:N297 I300:N301 H302:I302 I303:N306 H307:I307 I308:N308 I312:N312 H313:I313 H314:N314 I315:N318 H321:I321 I323:N323 I326:N328 I332:N332 I336:N337 I340:N340 I343:N343 I347:N347 I352:N352 I356:N356 I358:N358 I360:N360 H361:I361 I366:N366 H369:I369 I371:N374 I381:N381 I385:N391 I394:N395 I398:N398 I399 I400:N400 I402:N403 I411:N411 I416:N417 H418:I418 I419:N420 H421:I422 I423:N423 H424:I424 I425 H426:I435 I436:N437 H438:I438 I439:N440 H441:I442 H449:I456 F452:G463 I457 H458:I464">
    <cfRule type="expression" dxfId="136" priority="352">
      <formula>#REF!="Benzick, Sue"</formula>
    </cfRule>
    <cfRule type="expression" dxfId="135" priority="353">
      <formula>#REF!="Jenne, Richard"</formula>
    </cfRule>
  </conditionalFormatting>
  <conditionalFormatting sqref="G4:I4 H5:I11 H12:N12 J13:N13 H13:I16 H17:N17 H18:I31 G32:I35 G36:N36 G37:I37 F38:I38 F39:G40 H39:I44 H45:N49 I50:N50 H51:I53 I54:N54 I55 H56:I58 I61 H62:I67 J65:N65 J67:N68 I68:N69 H69 H70:I71 I72:N73 H74:I75 I76:N76 H77:I78 I79:N81 H82:I82 I83:N83 H84:I88 H89:N91 I92:N93 H93 H94:I98 H99 H100:I100 I101:N102 H103:I104 I105:N106 H107:I113 I114:N114 I124:N124 H125:I125 E126:I126 I127:N128 I131:N132 I134:N135 E135:G135 I138:N138 I144:N144 I154 I156:N156 I158:N161 I163:N165 H166:I168 I171:N172 H174:N174 I177:N177 H179:N179 I181:N181 I186:N187 H188:I189 H191:I191 I200:N200 I202:N206 H208:N208 H211 H214:N214 I219 I227 I236:N237 I246:N247 I257:N257 I259:N261 I262 I266:N269 I272:N275 I277:N277 I280:N280 I288:N288 I290:N291 I293:N293 I297:N297 I300:N301 H302:I302 I303:N306 H307:I307 I308:N308 I312:N312 H313:I313 H314:N314 I315:N318 H321:I321 I323:N323 I326:N328 I332:N332 I336:N337 I340:N340 I343:N343 I347:N347 I352:N352 I356:N356 I358:N358 I360:N360 H361:I361 I366:N366 H369:I369 I371:N374 I381:N381 I385:N391 I394:N395 I398:N398 I399 I400:N400 I402:N403 I411:N411 I416:N417 H418:I418 I419:N420 H421:I422 I423:N423 H424:I424 I425 H426:I435 I436:N437 H438:I438 I439:N440 H441:I442 H449:I456 F452:G463 I457 H458:I464">
    <cfRule type="expression" dxfId="134" priority="354">
      <formula>#REF!="McQueen, Jennifer"</formula>
    </cfRule>
  </conditionalFormatting>
  <conditionalFormatting sqref="G190:N190">
    <cfRule type="expression" dxfId="133" priority="13">
      <formula>#REF!="Benzick, Sue"</formula>
    </cfRule>
    <cfRule type="expression" dxfId="132" priority="14">
      <formula>#REF!="Jenne, Richard"</formula>
    </cfRule>
    <cfRule type="expression" dxfId="131" priority="15">
      <formula>#REF!="McQueen, Jennifer"</formula>
    </cfRule>
  </conditionalFormatting>
  <conditionalFormatting sqref="H55 H61 H119:H120 H129:I130 H133:I133 H135 H136:I137 H145 H177 H181 H183:H184 H192">
    <cfRule type="expression" dxfId="130" priority="322">
      <formula>#REF!="Benzick, Sue"</formula>
    </cfRule>
    <cfRule type="expression" dxfId="129" priority="323">
      <formula>#REF!="Jenne, Richard"</formula>
    </cfRule>
    <cfRule type="expression" dxfId="128" priority="324">
      <formula>#REF!="McQueen, Jennifer"</formula>
    </cfRule>
  </conditionalFormatting>
  <conditionalFormatting sqref="H243">
    <cfRule type="expression" dxfId="127" priority="10">
      <formula>#REF!="Benzick, Sue"</formula>
    </cfRule>
    <cfRule type="expression" dxfId="126" priority="11">
      <formula>#REF!="Jenne, Richard"</formula>
    </cfRule>
    <cfRule type="expression" dxfId="125" priority="12">
      <formula>#REF!="McQueen, Jennifer"</formula>
    </cfRule>
  </conditionalFormatting>
  <conditionalFormatting sqref="I99">
    <cfRule type="expression" dxfId="124" priority="118">
      <formula>#REF!="Benzick, Sue"</formula>
    </cfRule>
    <cfRule type="expression" dxfId="123" priority="119">
      <formula>#REF!="Jenne, Richard"</formula>
    </cfRule>
    <cfRule type="expression" dxfId="122" priority="120">
      <formula>#REF!="McQueen, Jennifer"</formula>
    </cfRule>
  </conditionalFormatting>
  <conditionalFormatting sqref="I169">
    <cfRule type="expression" dxfId="121" priority="7">
      <formula>#REF!="Benzick, Sue"</formula>
    </cfRule>
    <cfRule type="expression" dxfId="120" priority="8">
      <formula>#REF!="Jenne, Richard"</formula>
    </cfRule>
    <cfRule type="expression" dxfId="119" priority="9">
      <formula>#REF!="McQueen, Jennifer"</formula>
    </cfRule>
  </conditionalFormatting>
  <conditionalFormatting sqref="I183:I184">
    <cfRule type="expression" dxfId="118" priority="28">
      <formula>#REF!="Benzick, Sue"</formula>
    </cfRule>
    <cfRule type="expression" dxfId="117" priority="29">
      <formula>#REF!="Jenne, Richard"</formula>
    </cfRule>
    <cfRule type="expression" dxfId="116" priority="30">
      <formula>#REF!="McQueen, Jennifer"</formula>
    </cfRule>
  </conditionalFormatting>
  <conditionalFormatting sqref="I211">
    <cfRule type="expression" dxfId="115" priority="115">
      <formula>#REF!="Benzick, Sue"</formula>
    </cfRule>
    <cfRule type="expression" dxfId="114" priority="116">
      <formula>#REF!="Jenne, Richard"</formula>
    </cfRule>
    <cfRule type="expression" dxfId="113" priority="117">
      <formula>#REF!="McQueen, Jennifer"</formula>
    </cfRule>
  </conditionalFormatting>
  <conditionalFormatting sqref="I229">
    <cfRule type="expression" dxfId="112" priority="58">
      <formula>#REF!="Benzick, Sue"</formula>
    </cfRule>
    <cfRule type="expression" dxfId="111" priority="59">
      <formula>#REF!="Jenne, Richard"</formula>
    </cfRule>
    <cfRule type="expression" dxfId="110" priority="60">
      <formula>#REF!="McQueen, Jennifer"</formula>
    </cfRule>
  </conditionalFormatting>
  <conditionalFormatting sqref="I255">
    <cfRule type="expression" dxfId="109" priority="52">
      <formula>#REF!="Benzick, Sue"</formula>
    </cfRule>
    <cfRule type="expression" dxfId="108" priority="53">
      <formula>#REF!="Jenne, Richard"</formula>
    </cfRule>
    <cfRule type="expression" dxfId="107" priority="54">
      <formula>#REF!="McQueen, Jennifer"</formula>
    </cfRule>
  </conditionalFormatting>
  <conditionalFormatting sqref="I292">
    <cfRule type="expression" dxfId="106" priority="97">
      <formula>#REF!="Benzick, Sue"</formula>
    </cfRule>
    <cfRule type="expression" dxfId="105" priority="98">
      <formula>#REF!="Jenne, Richard"</formula>
    </cfRule>
    <cfRule type="expression" dxfId="104" priority="99">
      <formula>#REF!="McQueen, Jennifer"</formula>
    </cfRule>
  </conditionalFormatting>
  <conditionalFormatting sqref="I339">
    <cfRule type="expression" dxfId="103" priority="100">
      <formula>#REF!="Benzick, Sue"</formula>
    </cfRule>
    <cfRule type="expression" dxfId="102" priority="101">
      <formula>#REF!="Jenne, Richard"</formula>
    </cfRule>
    <cfRule type="expression" dxfId="101" priority="102">
      <formula>#REF!="McQueen, Jennifer"</formula>
    </cfRule>
  </conditionalFormatting>
  <conditionalFormatting sqref="I117:N117">
    <cfRule type="expression" dxfId="100" priority="31">
      <formula>#REF!="Benzick, Sue"</formula>
    </cfRule>
    <cfRule type="expression" dxfId="99" priority="32">
      <formula>#REF!="Jenne, Richard"</formula>
    </cfRule>
  </conditionalFormatting>
  <conditionalFormatting sqref="I117:N120">
    <cfRule type="expression" dxfId="98" priority="33">
      <formula>#REF!="McQueen, Jennifer"</formula>
    </cfRule>
  </conditionalFormatting>
  <conditionalFormatting sqref="I195:N195">
    <cfRule type="expression" dxfId="97" priority="76">
      <formula>#REF!="Benzick, Sue"</formula>
    </cfRule>
    <cfRule type="expression" dxfId="96" priority="77">
      <formula>#REF!="Jenne, Richard"</formula>
    </cfRule>
  </conditionalFormatting>
  <conditionalFormatting sqref="I195:N198">
    <cfRule type="expression" dxfId="95" priority="78">
      <formula>#REF!="McQueen, Jennifer"</formula>
    </cfRule>
  </conditionalFormatting>
  <conditionalFormatting sqref="I282:N282">
    <cfRule type="expression" dxfId="94" priority="1">
      <formula>#REF!="Benzick, Sue"</formula>
    </cfRule>
    <cfRule type="expression" dxfId="93" priority="2">
      <formula>#REF!="Jenne, Richard"</formula>
    </cfRule>
    <cfRule type="expression" dxfId="92" priority="3">
      <formula>#REF!="McQueen, Jennifer"</formula>
    </cfRule>
  </conditionalFormatting>
  <conditionalFormatting sqref="I409:N409">
    <cfRule type="expression" dxfId="91" priority="73">
      <formula>#REF!="Benzick, Sue"</formula>
    </cfRule>
    <cfRule type="expression" dxfId="90" priority="74">
      <formula>#REF!="Jenne, Richard"</formula>
    </cfRule>
    <cfRule type="expression" dxfId="89" priority="75">
      <formula>#REF!="McQueen, Jennifer"</formula>
    </cfRule>
  </conditionalFormatting>
  <conditionalFormatting sqref="I443:N443">
    <cfRule type="expression" dxfId="88" priority="136">
      <formula>#REF!="Benzick, Sue"</formula>
    </cfRule>
    <cfRule type="expression" dxfId="87" priority="137">
      <formula>#REF!="Jenne, Richard"</formula>
    </cfRule>
  </conditionalFormatting>
  <conditionalFormatting sqref="I443:N448">
    <cfRule type="expression" dxfId="86" priority="123">
      <formula>#REF!="McQueen, Jennifer"</formula>
    </cfRule>
  </conditionalFormatting>
  <conditionalFormatting sqref="I444:N448">
    <cfRule type="expression" dxfId="85" priority="121">
      <formula>#REF!="Benzick, Sue"</formula>
    </cfRule>
    <cfRule type="expression" dxfId="84" priority="122">
      <formula>#REF!="Jenne, Richard"</formula>
    </cfRule>
  </conditionalFormatting>
  <conditionalFormatting sqref="J62">
    <cfRule type="expression" dxfId="83" priority="94">
      <formula>#REF!="Benzick, Sue"</formula>
    </cfRule>
    <cfRule type="expression" dxfId="82" priority="95">
      <formula>#REF!="Jenne, Richard"</formula>
    </cfRule>
    <cfRule type="expression" dxfId="81" priority="96">
      <formula>#REF!="McQueen, Jennifer"</formula>
    </cfRule>
  </conditionalFormatting>
  <conditionalFormatting sqref="J229">
    <cfRule type="expression" dxfId="80" priority="55">
      <formula>$W229="Benzick, Sue"</formula>
    </cfRule>
    <cfRule type="expression" dxfId="79" priority="56">
      <formula>$W229="Jenne, Richard"</formula>
    </cfRule>
    <cfRule type="expression" dxfId="78" priority="57">
      <formula>$W229="McQueen, Jennifer"</formula>
    </cfRule>
  </conditionalFormatting>
  <conditionalFormatting sqref="J255">
    <cfRule type="expression" dxfId="77" priority="49">
      <formula>$W255="Benzick, Sue"</formula>
    </cfRule>
    <cfRule type="expression" dxfId="76" priority="50">
      <formula>$W255="Jenne, Richard"</formula>
    </cfRule>
    <cfRule type="expression" dxfId="75" priority="51">
      <formula>$W255="McQueen, Jennifer"</formula>
    </cfRule>
  </conditionalFormatting>
  <conditionalFormatting sqref="J262">
    <cfRule type="expression" dxfId="74" priority="46">
      <formula>$W262="Benzick, Sue"</formula>
    </cfRule>
    <cfRule type="expression" dxfId="73" priority="47">
      <formula>$W262="Jenne, Richard"</formula>
    </cfRule>
    <cfRule type="expression" dxfId="72" priority="48">
      <formula>$W262="McQueen, Jennifer"</formula>
    </cfRule>
  </conditionalFormatting>
  <conditionalFormatting sqref="J399">
    <cfRule type="expression" dxfId="71" priority="43">
      <formula>$W399="Benzick, Sue"</formula>
    </cfRule>
    <cfRule type="expression" dxfId="70" priority="44">
      <formula>$W399="Jenne, Richard"</formula>
    </cfRule>
    <cfRule type="expression" dxfId="69" priority="45">
      <formula>$W399="McQueen, Jennifer"</formula>
    </cfRule>
  </conditionalFormatting>
  <conditionalFormatting sqref="J455">
    <cfRule type="expression" dxfId="68" priority="40">
      <formula>$W455="Benzick, Sue"</formula>
    </cfRule>
    <cfRule type="expression" dxfId="67" priority="41">
      <formula>$W455="Jenne, Richard"</formula>
    </cfRule>
    <cfRule type="expression" dxfId="66" priority="42">
      <formula>$W455="McQueen, Jennifer"</formula>
    </cfRule>
  </conditionalFormatting>
  <conditionalFormatting sqref="J4:N11 W4:W81 J14:N16 J18:N35 A32:A33 O32:S33 V32:V37 V39:V47 V49 V51:V65 E55:F55 F69:G70 V69:V80 E71:G71 E72:H72 F73:H73 E74:G74 J74:N74 F75:G75 F76:H76 E76:E78 F77:G77 O77:P87 J78:N78 F78:F79 A78:A81 E80:F81 V82:W130 J88:N88 P88 O89:P98 J94:N94 B95 A96 J96:N97 A97:B97 E99:F99 E102:H102 J107:N107 A108:A111 J112:N112 J115:N115 J121:N123 J125:N125 W131 V132:W144 A137 E141 J142:N142 E144:H144 E146:G146 V146:W146 J146:N147 E147 V147:V148 W147:W154 F148 K148 M148:N148 F150:G153 V150:V154 F154:H154 J154:N155 F155:F156 F160 E160:E161 E163:E167 E169:E172 E174 E181 F194:F195 V200:W212 J208:N208 J210:N210 W213:W214 V215:W240 J217:N217 J219:N224 A224 J227:N228 J231:N231 J241:N241 V241:V245 W241:W254 J244:N244 W256:W464 A289 A338 J339:N339 A418 A429">
    <cfRule type="expression" dxfId="65" priority="571">
      <formula>$V4="Benzick, Sue"</formula>
    </cfRule>
    <cfRule type="expression" dxfId="64" priority="572">
      <formula>$V4="Jenne, Richard"</formula>
    </cfRule>
    <cfRule type="expression" dxfId="63" priority="573">
      <formula>$V4="McQueen, Jennifer"</formula>
    </cfRule>
  </conditionalFormatting>
  <conditionalFormatting sqref="J37:N37">
    <cfRule type="expression" dxfId="62" priority="37">
      <formula>$V37="Benzick, Sue"</formula>
    </cfRule>
    <cfRule type="expression" dxfId="61" priority="38">
      <formula>$V37="Jenne, Richard"</formula>
    </cfRule>
    <cfRule type="expression" dxfId="60" priority="39">
      <formula>$V37="McQueen, Jennifer"</formula>
    </cfRule>
  </conditionalFormatting>
  <conditionalFormatting sqref="J64:N64">
    <cfRule type="expression" dxfId="59" priority="67">
      <formula>$W64="Benzick, Sue"</formula>
    </cfRule>
    <cfRule type="expression" dxfId="58" priority="68">
      <formula>$W64="Jenne, Richard"</formula>
    </cfRule>
    <cfRule type="expression" dxfId="57" priority="69">
      <formula>$W64="McQueen, Jennifer"</formula>
    </cfRule>
  </conditionalFormatting>
  <conditionalFormatting sqref="J71:N71">
    <cfRule type="expression" dxfId="56" priority="64">
      <formula>$W71="Benzick, Sue"</formula>
    </cfRule>
    <cfRule type="expression" dxfId="55" priority="65">
      <formula>$W71="Jenne, Richard"</formula>
    </cfRule>
    <cfRule type="expression" dxfId="54" priority="66">
      <formula>$W71="McQueen, Jennifer"</formula>
    </cfRule>
  </conditionalFormatting>
  <conditionalFormatting sqref="K62">
    <cfRule type="expression" dxfId="53" priority="91">
      <formula>#REF!="Benzick, Sue"</formula>
    </cfRule>
    <cfRule type="expression" dxfId="52" priority="92">
      <formula>#REF!="Jenne, Richard"</formula>
    </cfRule>
    <cfRule type="expression" dxfId="51" priority="93">
      <formula>#REF!="McQueen, Jennifer"</formula>
    </cfRule>
  </conditionalFormatting>
  <conditionalFormatting sqref="L62">
    <cfRule type="expression" dxfId="50" priority="88">
      <formula>#REF!="Benzick, Sue"</formula>
    </cfRule>
    <cfRule type="expression" dxfId="49" priority="89">
      <formula>#REF!="Jenne, Richard"</formula>
    </cfRule>
    <cfRule type="expression" dxfId="48" priority="90">
      <formula>#REF!="McQueen, Jennifer"</formula>
    </cfRule>
  </conditionalFormatting>
  <conditionalFormatting sqref="M62">
    <cfRule type="expression" dxfId="47" priority="85">
      <formula>#REF!="Benzick, Sue"</formula>
    </cfRule>
    <cfRule type="expression" dxfId="46" priority="86">
      <formula>#REF!="Jenne, Richard"</formula>
    </cfRule>
    <cfRule type="expression" dxfId="45" priority="87">
      <formula>#REF!="McQueen, Jennifer"</formula>
    </cfRule>
  </conditionalFormatting>
  <conditionalFormatting sqref="N62">
    <cfRule type="expression" dxfId="44" priority="82">
      <formula>#REF!="Benzick, Sue"</formula>
    </cfRule>
    <cfRule type="expression" dxfId="43" priority="83">
      <formula>#REF!="Jenne, Richard"</formula>
    </cfRule>
    <cfRule type="expression" dxfId="42" priority="84">
      <formula>#REF!="McQueen, Jennifer"</formula>
    </cfRule>
  </conditionalFormatting>
  <conditionalFormatting sqref="Q150:Q191">
    <cfRule type="expression" dxfId="41" priority="16">
      <formula>$W150="Benzick, Sue"</formula>
    </cfRule>
    <cfRule type="expression" dxfId="40" priority="17">
      <formula>$W150="Jenne, Richard"</formula>
    </cfRule>
    <cfRule type="expression" dxfId="39" priority="18">
      <formula>$W150="McQueen, Jennifer"</formula>
    </cfRule>
  </conditionalFormatting>
  <conditionalFormatting sqref="V155:W198">
    <cfRule type="expression" dxfId="38" priority="19">
      <formula>$V155="Benzick, Sue"</formula>
    </cfRule>
    <cfRule type="expression" dxfId="37" priority="20">
      <formula>$V155="Jenne, Richard"</formula>
    </cfRule>
    <cfRule type="expression" dxfId="36" priority="21">
      <formula>$V155="McQueen, Jennifer"</formula>
    </cfRule>
  </conditionalFormatting>
  <conditionalFormatting sqref="Z342:Z344">
    <cfRule type="expression" dxfId="35" priority="973">
      <formula>$AA342="Benzick, Sue"</formula>
    </cfRule>
    <cfRule type="expression" dxfId="34" priority="974">
      <formula>$AA342="Jenne, Richard"</formula>
    </cfRule>
    <cfRule type="expression" dxfId="33" priority="975">
      <formula>$AA342="McQueen, Jennifer"</formula>
    </cfRule>
  </conditionalFormatting>
  <conditionalFormatting sqref="Z190 Z15:Z37 J38:N38 Z39:Z47 Z49 Z51:Z65 Z69:Z80 Z82:Z130 AA86:AA135 Z132:Z135 Z136:AA144 Z146:Z165 AA146:AA198 AA200:AA254 AA256:AA464">
    <cfRule type="expression" dxfId="32" priority="22">
      <formula>#REF!="Benzick, Sue"</formula>
    </cfRule>
    <cfRule type="expression" dxfId="31" priority="23">
      <formula>#REF!="Jenne, Richard"</formula>
    </cfRule>
    <cfRule type="expression" dxfId="30" priority="24">
      <formula>#REF!="McQueen, Jennifer"</formula>
    </cfRule>
  </conditionalFormatting>
  <conditionalFormatting sqref="AA4:AA85">
    <cfRule type="expression" dxfId="29" priority="1640">
      <formula>#REF!="Benzick, Sue"</formula>
    </cfRule>
    <cfRule type="expression" dxfId="28" priority="1641">
      <formula>#REF!="Jenne, Richard"</formula>
    </cfRule>
    <cfRule type="expression" dxfId="27" priority="1642">
      <formula>#REF!="McQueen, Jennifer"</formula>
    </cfRule>
  </conditionalFormatting>
  <conditionalFormatting sqref="F304:H305 F389:H389 F391:H391 F392:G393">
    <cfRule type="expression" dxfId="20" priority="6197">
      <formula>#REF!="Benzick, Sue"</formula>
    </cfRule>
    <cfRule type="expression" dxfId="19" priority="6198">
      <formula>#REF!="Jenne, Richard"</formula>
    </cfRule>
    <cfRule type="expression" dxfId="18" priority="6199">
      <formula>#REF!="McQueen, Jennifer"</formula>
    </cfRule>
  </conditionalFormatting>
  <dataValidations count="3">
    <dataValidation type="list" allowBlank="1" showInputMessage="1" showErrorMessage="1" sqref="B466:B472 B474:B744 B4:B464" xr:uid="{00000000-0002-0000-0900-000001000000}">
      <formula1>Class</formula1>
    </dataValidation>
    <dataValidation type="list" allowBlank="1" showInputMessage="1" showErrorMessage="1" sqref="A72:A74 A187:A189 A191" xr:uid="{00000000-0002-0000-0900-000002000000}">
      <formula1>Location</formula1>
    </dataValidation>
    <dataValidation allowBlank="1" showInputMessage="1" showErrorMessage="1" sqref="V4:V144 V146:V198 V256:V464 V200:V254" xr:uid="{00000000-0002-0000-0900-000003000000}"/>
  </dataValidations>
  <printOptions horizontalCentered="1" verticalCentered="1"/>
  <pageMargins left="0.7" right="0.7" top="0.75" bottom="0.75" header="0.3" footer="0.3"/>
  <pageSetup paperSize="5" scale="35" fitToHeight="0" orientation="landscape" r:id="rId1"/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861" id="{AE3F98C1-A40C-4988-9104-8BFD6EEF7747}">
            <xm:f>'FY24 Canceled'!$X41="Benzick, Sue"</xm:f>
            <x14:dxf>
              <font>
                <b/>
                <i val="0"/>
              </font>
            </x14:dxf>
          </x14:cfRule>
          <x14:cfRule type="expression" priority="2862" id="{6B641A83-B6D8-4AD4-A45E-42408EE57EA7}">
            <xm:f>'FY24 Canceled'!$X41="Jenne, Richard"</xm:f>
            <x14:dxf>
              <font>
                <b/>
                <i val="0"/>
              </font>
            </x14:dxf>
          </x14:cfRule>
          <x14:cfRule type="expression" priority="2863" id="{FAE8564C-E0B5-4D4C-BA71-E356065A4687}">
            <xm:f>'FY24 Canceled'!$X41="McQueen, Jennifer"</xm:f>
            <x14:dxf>
              <font>
                <b/>
                <i val="0"/>
              </font>
            </x14:dxf>
          </x14:cfRule>
          <xm:sqref>F173</xm:sqref>
        </x14:conditionalFormatting>
        <x14:conditionalFormatting xmlns:xm="http://schemas.microsoft.com/office/excel/2006/main">
          <x14:cfRule type="expression" priority="3524" id="{E1BF2C48-F6B4-454C-9A62-16A8EB761941}">
            <xm:f>'FY24 Canceled'!$Y43="Benzick, Sue"</xm:f>
            <x14:dxf>
              <font>
                <b/>
                <i val="0"/>
              </font>
            </x14:dxf>
          </x14:cfRule>
          <x14:cfRule type="expression" priority="3525" id="{2E0795E3-DE7E-4E1F-964D-B1BD66DEB900}">
            <xm:f>'FY24 Canceled'!$Y43="Jenne, Richard"</xm:f>
            <x14:dxf>
              <font>
                <b/>
                <i val="0"/>
              </font>
            </x14:dxf>
          </x14:cfRule>
          <x14:cfRule type="expression" priority="3526" id="{B186ECB4-9B26-412B-992C-6925569CE226}">
            <xm:f>'FY24 Canceled'!$Y43="McQueen, Jennifer"</xm:f>
            <x14:dxf>
              <font>
                <b/>
                <i val="0"/>
              </font>
            </x14:dxf>
          </x14:cfRule>
          <xm:sqref>F200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900-000006000000}">
          <x14:formula1>
            <xm:f>Data!$J$2:$J$125</xm:f>
          </x14:formula1>
          <xm:sqref>E466:E929</xm:sqref>
        </x14:dataValidation>
        <x14:dataValidation type="list" allowBlank="1" showInputMessage="1" showErrorMessage="1" xr:uid="{00000000-0002-0000-0900-000007000000}">
          <x14:formula1>
            <xm:f>Data!$J$2:$J$130</xm:f>
          </x14:formula1>
          <xm:sqref>E178:E198 E4:E144 E146:E176 E256:E464 E200:E254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8"/>
  <dimension ref="A3:D41"/>
  <sheetViews>
    <sheetView topLeftCell="A16" workbookViewId="0">
      <selection activeCell="A23" sqref="A23"/>
    </sheetView>
  </sheetViews>
  <sheetFormatPr defaultColWidth="8.7109375" defaultRowHeight="15"/>
  <cols>
    <col min="1" max="1" width="74.42578125" customWidth="1"/>
    <col min="2" max="2" width="16" customWidth="1"/>
    <col min="3" max="3" width="15.28515625" customWidth="1"/>
    <col min="4" max="4" width="14.42578125" customWidth="1"/>
    <col min="5" max="5" width="3" customWidth="1"/>
    <col min="6" max="6" width="4" customWidth="1"/>
    <col min="7" max="7" width="11.28515625" bestFit="1" customWidth="1"/>
  </cols>
  <sheetData>
    <row r="3" spans="1:4">
      <c r="A3" s="6" t="s">
        <v>0</v>
      </c>
      <c r="B3" t="s">
        <v>1</v>
      </c>
      <c r="C3" t="s">
        <v>2</v>
      </c>
      <c r="D3" t="s">
        <v>3</v>
      </c>
    </row>
    <row r="4" spans="1:4">
      <c r="A4" s="4" t="s">
        <v>4</v>
      </c>
      <c r="B4">
        <v>9</v>
      </c>
      <c r="C4">
        <v>270</v>
      </c>
      <c r="D4">
        <v>79</v>
      </c>
    </row>
    <row r="5" spans="1:4">
      <c r="A5" s="4" t="s">
        <v>5</v>
      </c>
      <c r="B5">
        <v>6</v>
      </c>
      <c r="C5">
        <v>180</v>
      </c>
      <c r="D5">
        <v>85</v>
      </c>
    </row>
    <row r="6" spans="1:4">
      <c r="A6" s="4" t="s">
        <v>6</v>
      </c>
      <c r="B6">
        <v>3</v>
      </c>
      <c r="C6">
        <v>75</v>
      </c>
      <c r="D6">
        <v>215</v>
      </c>
    </row>
    <row r="7" spans="1:4">
      <c r="A7" s="4" t="s">
        <v>7</v>
      </c>
      <c r="B7">
        <v>4</v>
      </c>
      <c r="C7">
        <v>100</v>
      </c>
      <c r="D7">
        <v>170</v>
      </c>
    </row>
    <row r="8" spans="1:4">
      <c r="A8" s="4" t="s">
        <v>8</v>
      </c>
      <c r="B8">
        <v>3</v>
      </c>
      <c r="C8">
        <v>75</v>
      </c>
      <c r="D8">
        <v>95</v>
      </c>
    </row>
    <row r="9" spans="1:4">
      <c r="A9" s="4" t="s">
        <v>9</v>
      </c>
      <c r="B9">
        <v>4</v>
      </c>
      <c r="C9">
        <v>100</v>
      </c>
      <c r="D9">
        <v>79</v>
      </c>
    </row>
    <row r="10" spans="1:4">
      <c r="A10" s="4" t="s">
        <v>10</v>
      </c>
      <c r="B10">
        <v>3</v>
      </c>
      <c r="C10">
        <v>75</v>
      </c>
      <c r="D10">
        <v>150</v>
      </c>
    </row>
    <row r="11" spans="1:4">
      <c r="A11" s="4" t="s">
        <v>11</v>
      </c>
      <c r="B11">
        <v>4</v>
      </c>
      <c r="C11">
        <v>100</v>
      </c>
      <c r="D11">
        <v>74</v>
      </c>
    </row>
    <row r="12" spans="1:4">
      <c r="A12" s="4" t="s">
        <v>12</v>
      </c>
      <c r="B12">
        <v>12</v>
      </c>
      <c r="C12">
        <v>360</v>
      </c>
      <c r="D12">
        <f>261+228</f>
        <v>489</v>
      </c>
    </row>
    <row r="13" spans="1:4">
      <c r="A13" s="4" t="s">
        <v>13</v>
      </c>
      <c r="B13">
        <v>7</v>
      </c>
      <c r="C13">
        <v>210</v>
      </c>
      <c r="D13">
        <v>408</v>
      </c>
    </row>
    <row r="14" spans="1:4">
      <c r="A14" s="4" t="s">
        <v>14</v>
      </c>
      <c r="B14">
        <v>3</v>
      </c>
      <c r="C14">
        <v>75</v>
      </c>
      <c r="D14">
        <v>603</v>
      </c>
    </row>
    <row r="15" spans="1:4">
      <c r="A15" s="4" t="s">
        <v>15</v>
      </c>
      <c r="B15">
        <v>2</v>
      </c>
      <c r="C15">
        <v>70</v>
      </c>
      <c r="D15">
        <v>266</v>
      </c>
    </row>
    <row r="16" spans="1:4">
      <c r="A16" s="4" t="s">
        <v>16</v>
      </c>
      <c r="B16">
        <v>1</v>
      </c>
      <c r="C16">
        <v>30</v>
      </c>
      <c r="D16">
        <v>30</v>
      </c>
    </row>
    <row r="17" spans="1:4">
      <c r="A17" s="4" t="s">
        <v>17</v>
      </c>
      <c r="B17">
        <v>25</v>
      </c>
      <c r="C17">
        <v>750</v>
      </c>
      <c r="D17" s="17"/>
    </row>
    <row r="18" spans="1:4">
      <c r="A18" s="4" t="s">
        <v>18</v>
      </c>
      <c r="B18">
        <v>28</v>
      </c>
      <c r="C18">
        <v>840</v>
      </c>
      <c r="D18" s="17"/>
    </row>
    <row r="19" spans="1:4">
      <c r="A19" s="4" t="s">
        <v>19</v>
      </c>
      <c r="B19">
        <v>9</v>
      </c>
      <c r="C19">
        <v>270</v>
      </c>
      <c r="D19">
        <v>273</v>
      </c>
    </row>
    <row r="20" spans="1:4">
      <c r="A20" s="4" t="s">
        <v>20</v>
      </c>
      <c r="B20">
        <v>7</v>
      </c>
      <c r="C20">
        <v>210</v>
      </c>
      <c r="D20">
        <v>517</v>
      </c>
    </row>
    <row r="21" spans="1:4">
      <c r="A21" s="4" t="s">
        <v>21</v>
      </c>
      <c r="B21">
        <v>8</v>
      </c>
      <c r="C21">
        <v>240</v>
      </c>
      <c r="D21">
        <v>446</v>
      </c>
    </row>
    <row r="22" spans="1:4">
      <c r="A22" s="4" t="s">
        <v>22</v>
      </c>
      <c r="B22">
        <v>23</v>
      </c>
      <c r="C22">
        <v>690</v>
      </c>
      <c r="D22">
        <f>323+459</f>
        <v>782</v>
      </c>
    </row>
    <row r="23" spans="1:4">
      <c r="A23" s="4" t="s">
        <v>23</v>
      </c>
      <c r="B23">
        <v>25</v>
      </c>
      <c r="C23">
        <v>750</v>
      </c>
      <c r="D23" s="17"/>
    </row>
    <row r="24" spans="1:4">
      <c r="A24" s="4" t="s">
        <v>24</v>
      </c>
      <c r="B24">
        <v>43</v>
      </c>
      <c r="C24">
        <v>1290</v>
      </c>
      <c r="D24" s="17"/>
    </row>
    <row r="25" spans="1:4">
      <c r="A25" s="4" t="s">
        <v>25</v>
      </c>
      <c r="B25">
        <v>22</v>
      </c>
      <c r="C25">
        <v>660</v>
      </c>
      <c r="D25" s="17"/>
    </row>
    <row r="26" spans="1:4">
      <c r="A26" s="4" t="s">
        <v>26</v>
      </c>
      <c r="B26">
        <v>9</v>
      </c>
      <c r="C26">
        <v>270</v>
      </c>
      <c r="D26" s="17"/>
    </row>
    <row r="27" spans="1:4">
      <c r="A27" s="4" t="s">
        <v>27</v>
      </c>
      <c r="B27">
        <v>11</v>
      </c>
      <c r="C27">
        <v>330</v>
      </c>
      <c r="D27" s="17"/>
    </row>
    <row r="28" spans="1:4">
      <c r="A28" s="4" t="s">
        <v>28</v>
      </c>
      <c r="B28">
        <v>5</v>
      </c>
      <c r="C28">
        <v>125</v>
      </c>
      <c r="D28">
        <v>385</v>
      </c>
    </row>
    <row r="29" spans="1:4">
      <c r="A29" s="4" t="s">
        <v>29</v>
      </c>
      <c r="B29">
        <v>12</v>
      </c>
      <c r="C29">
        <v>480</v>
      </c>
      <c r="D29">
        <v>289</v>
      </c>
    </row>
    <row r="30" spans="1:4">
      <c r="A30" s="4" t="s">
        <v>30</v>
      </c>
      <c r="B30">
        <v>1</v>
      </c>
      <c r="C30">
        <v>30</v>
      </c>
      <c r="D30">
        <v>347</v>
      </c>
    </row>
    <row r="31" spans="1:4">
      <c r="A31" s="4" t="s">
        <v>31</v>
      </c>
      <c r="B31">
        <v>4</v>
      </c>
      <c r="C31">
        <v>120</v>
      </c>
      <c r="D31">
        <v>96</v>
      </c>
    </row>
    <row r="32" spans="1:4">
      <c r="A32" s="4" t="s">
        <v>32</v>
      </c>
      <c r="B32">
        <v>10</v>
      </c>
      <c r="C32">
        <v>300</v>
      </c>
      <c r="D32">
        <f>294+163+3</f>
        <v>460</v>
      </c>
    </row>
    <row r="33" spans="1:4">
      <c r="A33" s="4" t="s">
        <v>33</v>
      </c>
      <c r="B33">
        <v>10</v>
      </c>
      <c r="C33">
        <v>300</v>
      </c>
      <c r="D33">
        <v>607</v>
      </c>
    </row>
    <row r="34" spans="1:4">
      <c r="A34" s="4" t="s">
        <v>34</v>
      </c>
      <c r="B34">
        <v>6</v>
      </c>
      <c r="C34">
        <v>180</v>
      </c>
      <c r="D34">
        <v>168</v>
      </c>
    </row>
    <row r="35" spans="1:4">
      <c r="A35" s="4" t="s">
        <v>35</v>
      </c>
      <c r="B35">
        <v>23</v>
      </c>
      <c r="C35">
        <v>690</v>
      </c>
      <c r="D35" s="17"/>
    </row>
    <row r="36" spans="1:4">
      <c r="A36" s="4" t="s">
        <v>36</v>
      </c>
      <c r="B36">
        <v>12</v>
      </c>
      <c r="C36">
        <v>360</v>
      </c>
      <c r="D36">
        <v>220</v>
      </c>
    </row>
    <row r="37" spans="1:4">
      <c r="A37" s="4" t="s">
        <v>37</v>
      </c>
      <c r="B37">
        <v>6</v>
      </c>
      <c r="C37">
        <v>0</v>
      </c>
      <c r="D37">
        <f>322+70</f>
        <v>392</v>
      </c>
    </row>
    <row r="38" spans="1:4">
      <c r="A38" s="4" t="s">
        <v>38</v>
      </c>
      <c r="B38">
        <v>18</v>
      </c>
      <c r="C38">
        <v>450</v>
      </c>
      <c r="D38">
        <v>683</v>
      </c>
    </row>
    <row r="39" spans="1:4">
      <c r="A39" s="4" t="s">
        <v>39</v>
      </c>
      <c r="B39">
        <v>28</v>
      </c>
      <c r="C39">
        <v>2800</v>
      </c>
      <c r="D39">
        <f>896+769</f>
        <v>1665</v>
      </c>
    </row>
    <row r="40" spans="1:4">
      <c r="A40" s="4" t="s">
        <v>40</v>
      </c>
      <c r="B40">
        <v>3</v>
      </c>
      <c r="C40">
        <v>90</v>
      </c>
      <c r="D40" s="17"/>
    </row>
    <row r="41" spans="1:4">
      <c r="A41" s="4" t="s">
        <v>41</v>
      </c>
      <c r="B41">
        <v>409</v>
      </c>
      <c r="C41">
        <v>13945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9"/>
  <dimension ref="A1:I54"/>
  <sheetViews>
    <sheetView zoomScaleNormal="100" workbookViewId="0">
      <pane ySplit="3" topLeftCell="A61" activePane="bottomLeft" state="frozen"/>
      <selection pane="bottomLeft" activeCell="B61" sqref="B61"/>
    </sheetView>
  </sheetViews>
  <sheetFormatPr defaultColWidth="8.7109375" defaultRowHeight="15"/>
  <cols>
    <col min="1" max="1" width="66.7109375" style="18" bestFit="1" customWidth="1"/>
    <col min="2" max="2" width="12.7109375" style="18" customWidth="1"/>
    <col min="3" max="3" width="16.5703125" style="19" customWidth="1"/>
    <col min="4" max="4" width="17" style="19" customWidth="1"/>
    <col min="5" max="5" width="15" style="19" hidden="1" customWidth="1"/>
    <col min="6" max="6" width="13.28515625" style="19" bestFit="1" customWidth="1"/>
    <col min="7" max="7" width="16.7109375" style="19" bestFit="1" customWidth="1"/>
    <col min="8" max="8" width="15.28515625" style="19" bestFit="1" customWidth="1"/>
    <col min="9" max="9" width="8.5703125" style="25" bestFit="1" customWidth="1"/>
    <col min="10" max="16384" width="8.7109375" style="18"/>
  </cols>
  <sheetData>
    <row r="1" spans="1:9">
      <c r="A1" s="9" t="s">
        <v>42</v>
      </c>
    </row>
    <row r="2" spans="1:9">
      <c r="A2" s="10" t="e">
        <f ca="1">ModDate()</f>
        <v>#NAME?</v>
      </c>
    </row>
    <row r="3" spans="1:9" s="31" customFormat="1" ht="30">
      <c r="A3" s="28" t="s">
        <v>43</v>
      </c>
      <c r="B3" s="38" t="s">
        <v>44</v>
      </c>
      <c r="C3" s="29" t="s">
        <v>45</v>
      </c>
      <c r="D3" s="29" t="s">
        <v>1</v>
      </c>
      <c r="E3" s="29" t="s">
        <v>46</v>
      </c>
      <c r="F3" s="29" t="s">
        <v>2</v>
      </c>
      <c r="G3" s="29" t="s">
        <v>3</v>
      </c>
      <c r="H3" s="29" t="s">
        <v>47</v>
      </c>
      <c r="I3" s="30" t="s">
        <v>48</v>
      </c>
    </row>
    <row r="4" spans="1:9">
      <c r="A4" s="18" t="s">
        <v>5</v>
      </c>
      <c r="C4" s="19" t="s">
        <v>49</v>
      </c>
      <c r="D4" s="19">
        <f>COUNTIF(Table2[Course Title],#REF!)</f>
        <v>0</v>
      </c>
      <c r="E4" s="27" t="e">
        <f>VLOOKUP(#REF!,Data!A$2:D$52,4,FALSE)</f>
        <v>#REF!</v>
      </c>
      <c r="F4" s="19">
        <v>300</v>
      </c>
      <c r="G4" s="51">
        <v>85</v>
      </c>
      <c r="H4" s="32" t="e">
        <f>#REF!-#REF!</f>
        <v>#REF!</v>
      </c>
      <c r="I4" s="24" t="e">
        <f>#REF!/#REF!</f>
        <v>#REF!</v>
      </c>
    </row>
    <row r="5" spans="1:9">
      <c r="A5" s="18" t="s">
        <v>6</v>
      </c>
      <c r="C5" s="19" t="s">
        <v>50</v>
      </c>
      <c r="D5" s="19">
        <f>COUNTIF(Table2[Course Title],#REF!)</f>
        <v>0</v>
      </c>
      <c r="E5" s="19" t="e">
        <f>VLOOKUP(#REF!,Data!A$2:D$52,4,FALSE)</f>
        <v>#REF!</v>
      </c>
      <c r="F5" s="19" t="e">
        <f>#REF!*#REF!</f>
        <v>#REF!</v>
      </c>
      <c r="G5" s="51">
        <v>215</v>
      </c>
      <c r="H5" s="19" t="e">
        <f>#REF!-#REF!</f>
        <v>#REF!</v>
      </c>
      <c r="I5" s="24" t="e">
        <f>#REF!/#REF!</f>
        <v>#REF!</v>
      </c>
    </row>
    <row r="6" spans="1:9">
      <c r="A6" s="18" t="s">
        <v>7</v>
      </c>
      <c r="C6" s="19" t="s">
        <v>50</v>
      </c>
      <c r="D6" s="19">
        <f>COUNTIF(Table2[Course Title],#REF!)</f>
        <v>0</v>
      </c>
      <c r="E6" s="19" t="e">
        <f>VLOOKUP(#REF!,Data!A$2:D$52,4,FALSE)</f>
        <v>#REF!</v>
      </c>
      <c r="F6" s="19" t="e">
        <f>#REF!*#REF!</f>
        <v>#REF!</v>
      </c>
      <c r="G6" s="51">
        <v>170</v>
      </c>
      <c r="H6" s="32" t="e">
        <f>#REF!-#REF!</f>
        <v>#REF!</v>
      </c>
      <c r="I6" s="24" t="e">
        <f>#REF!/#REF!</f>
        <v>#REF!</v>
      </c>
    </row>
    <row r="7" spans="1:9">
      <c r="A7" s="18" t="s">
        <v>8</v>
      </c>
      <c r="C7" s="19" t="s">
        <v>50</v>
      </c>
      <c r="D7" s="19">
        <f>COUNTIF(Table2[Course Title],#REF!)</f>
        <v>0</v>
      </c>
      <c r="E7" s="19" t="e">
        <f>VLOOKUP(#REF!,Data!A$2:D$52,4,FALSE)</f>
        <v>#REF!</v>
      </c>
      <c r="F7" s="19" t="e">
        <f>#REF!*#REF!</f>
        <v>#REF!</v>
      </c>
      <c r="G7" s="51">
        <v>95</v>
      </c>
      <c r="H7" s="32" t="e">
        <f>#REF!-#REF!</f>
        <v>#REF!</v>
      </c>
      <c r="I7" s="24" t="e">
        <f>#REF!/#REF!</f>
        <v>#REF!</v>
      </c>
    </row>
    <row r="8" spans="1:9">
      <c r="A8" s="18" t="s">
        <v>9</v>
      </c>
      <c r="C8" s="19" t="s">
        <v>50</v>
      </c>
      <c r="D8" s="19">
        <f>COUNTIF(Table2[Course Title],#REF!)</f>
        <v>0</v>
      </c>
      <c r="E8" s="19" t="e">
        <f>VLOOKUP(#REF!,Data!A$2:D$52,4,FALSE)</f>
        <v>#REF!</v>
      </c>
      <c r="F8" s="19" t="e">
        <f>#REF!*#REF!</f>
        <v>#REF!</v>
      </c>
      <c r="G8" s="51">
        <v>79</v>
      </c>
      <c r="H8" s="32" t="e">
        <f>#REF!-#REF!</f>
        <v>#REF!</v>
      </c>
      <c r="I8" s="24" t="e">
        <f>#REF!/#REF!</f>
        <v>#REF!</v>
      </c>
    </row>
    <row r="9" spans="1:9">
      <c r="A9" s="18" t="s">
        <v>10</v>
      </c>
      <c r="C9" s="19" t="s">
        <v>50</v>
      </c>
      <c r="D9" s="19">
        <f>COUNTIF(Table2[Course Title],#REF!)</f>
        <v>0</v>
      </c>
      <c r="E9" s="19" t="e">
        <f>VLOOKUP(#REF!,Data!A$2:D$52,4,FALSE)</f>
        <v>#REF!</v>
      </c>
      <c r="F9" s="19" t="e">
        <f>#REF!*#REF!</f>
        <v>#REF!</v>
      </c>
      <c r="G9" s="51">
        <v>150</v>
      </c>
      <c r="H9" s="19" t="e">
        <f>#REF!-#REF!</f>
        <v>#REF!</v>
      </c>
      <c r="I9" s="24" t="e">
        <f>#REF!/#REF!</f>
        <v>#REF!</v>
      </c>
    </row>
    <row r="10" spans="1:9">
      <c r="A10" s="18" t="s">
        <v>11</v>
      </c>
      <c r="C10" s="19" t="s">
        <v>50</v>
      </c>
      <c r="D10" s="19">
        <f>COUNTIF(Table2[Course Title],#REF!)</f>
        <v>0</v>
      </c>
      <c r="E10" s="19" t="e">
        <f>VLOOKUP(#REF!,Data!A$2:D$52,4,FALSE)</f>
        <v>#REF!</v>
      </c>
      <c r="F10" s="19" t="e">
        <f>#REF!*#REF!</f>
        <v>#REF!</v>
      </c>
      <c r="G10" s="51">
        <v>74</v>
      </c>
      <c r="H10" s="32" t="e">
        <f>#REF!-#REF!</f>
        <v>#REF!</v>
      </c>
      <c r="I10" s="24" t="e">
        <f>#REF!/#REF!</f>
        <v>#REF!</v>
      </c>
    </row>
    <row r="11" spans="1:9">
      <c r="A11" s="18" t="s">
        <v>12</v>
      </c>
      <c r="C11" s="19" t="s">
        <v>51</v>
      </c>
      <c r="D11" s="19">
        <f>COUNTIF(Table2[Course Title],#REF!)</f>
        <v>0</v>
      </c>
      <c r="E11" s="19" t="e">
        <f>VLOOKUP(#REF!,Data!A$2:D$52,4,FALSE)</f>
        <v>#REF!</v>
      </c>
      <c r="F11" s="19" t="e">
        <f>#REF!*#REF!</f>
        <v>#REF!</v>
      </c>
      <c r="G11" s="51">
        <v>228</v>
      </c>
      <c r="H11" s="32" t="e">
        <f>#REF!-#REF!</f>
        <v>#REF!</v>
      </c>
      <c r="I11" s="24" t="e">
        <f>#REF!/#REF!</f>
        <v>#REF!</v>
      </c>
    </row>
    <row r="12" spans="1:9">
      <c r="A12" s="18" t="s">
        <v>52</v>
      </c>
      <c r="B12" s="18" t="s">
        <v>53</v>
      </c>
      <c r="C12" s="19" t="s">
        <v>54</v>
      </c>
      <c r="D12" s="19">
        <f>COUNTIF(Table2[Course Title],#REF!)</f>
        <v>0</v>
      </c>
      <c r="E12" s="39">
        <v>25</v>
      </c>
      <c r="F12" s="19" t="e">
        <f>#REF!*#REF!</f>
        <v>#REF!</v>
      </c>
      <c r="G12" s="51">
        <v>408</v>
      </c>
      <c r="H12" s="19" t="e">
        <f>#REF!-#REF!</f>
        <v>#REF!</v>
      </c>
      <c r="I12" s="24" t="e">
        <f>#REF!/#REF!</f>
        <v>#REF!</v>
      </c>
    </row>
    <row r="13" spans="1:9">
      <c r="A13" s="18" t="s">
        <v>14</v>
      </c>
      <c r="B13" s="18" t="s">
        <v>53</v>
      </c>
      <c r="C13" s="19" t="s">
        <v>50</v>
      </c>
      <c r="D13" s="19">
        <f>COUNTIF(Table2[Course Title],#REF!)</f>
        <v>0</v>
      </c>
      <c r="E13" s="19" t="e">
        <f>VLOOKUP(#REF!,Data!A$2:D$52,4,FALSE)</f>
        <v>#REF!</v>
      </c>
      <c r="F13" s="19" t="e">
        <f>#REF!*#REF!</f>
        <v>#REF!</v>
      </c>
      <c r="G13" s="51">
        <v>603</v>
      </c>
      <c r="H13" s="19" t="e">
        <f>#REF!-#REF!</f>
        <v>#REF!</v>
      </c>
      <c r="I13" s="24" t="e">
        <f>#REF!/#REF!</f>
        <v>#REF!</v>
      </c>
    </row>
    <row r="14" spans="1:9">
      <c r="A14" s="18" t="s">
        <v>15</v>
      </c>
      <c r="B14" s="18" t="s">
        <v>53</v>
      </c>
      <c r="C14" s="19" t="s">
        <v>54</v>
      </c>
      <c r="D14" s="19">
        <f>COUNTIF(Table2[Course Title],#REF!)</f>
        <v>0</v>
      </c>
      <c r="E14" s="19" t="e">
        <f>VLOOKUP(#REF!,Data!A$2:D$52,4,FALSE)</f>
        <v>#REF!</v>
      </c>
      <c r="F14" s="19" t="e">
        <f>#REF!*#REF!</f>
        <v>#REF!</v>
      </c>
      <c r="G14" s="51">
        <v>266</v>
      </c>
      <c r="H14" s="19" t="e">
        <f>#REF!-#REF!</f>
        <v>#REF!</v>
      </c>
      <c r="I14" s="24" t="e">
        <f>#REF!/#REF!</f>
        <v>#REF!</v>
      </c>
    </row>
    <row r="15" spans="1:9">
      <c r="A15" s="18" t="s">
        <v>16</v>
      </c>
      <c r="C15" s="19" t="s">
        <v>50</v>
      </c>
      <c r="D15" s="19">
        <f>COUNTIF(Table2[Course Title],#REF!)</f>
        <v>0</v>
      </c>
      <c r="E15" s="19" t="e">
        <f>VLOOKUP(#REF!,Data!A$2:D$52,4,FALSE)</f>
        <v>#REF!</v>
      </c>
      <c r="F15" s="19" t="e">
        <f>#REF!*#REF!</f>
        <v>#REF!</v>
      </c>
      <c r="G15" s="51">
        <v>30</v>
      </c>
      <c r="H15" s="32" t="e">
        <f>#REF!-#REF!</f>
        <v>#REF!</v>
      </c>
      <c r="I15" s="24" t="e">
        <f>#REF!/#REF!</f>
        <v>#REF!</v>
      </c>
    </row>
    <row r="16" spans="1:9">
      <c r="A16" s="18" t="s">
        <v>17</v>
      </c>
      <c r="B16" s="18" t="s">
        <v>53</v>
      </c>
      <c r="C16" s="19" t="s">
        <v>49</v>
      </c>
      <c r="D16" s="19">
        <f>COUNTIF(Table2[Course Title],#REF!)</f>
        <v>0</v>
      </c>
      <c r="E16" s="19" t="e">
        <f>VLOOKUP(#REF!,Data!A$2:D$52,4,FALSE)</f>
        <v>#REF!</v>
      </c>
      <c r="F16" s="19" t="e">
        <f>#REF!*#REF!</f>
        <v>#REF!</v>
      </c>
      <c r="G16" s="51">
        <v>750</v>
      </c>
      <c r="H16" s="19" t="e">
        <f>#REF!-#REF!</f>
        <v>#REF!</v>
      </c>
      <c r="I16" s="24" t="e">
        <f>#REF!/#REF!</f>
        <v>#REF!</v>
      </c>
    </row>
    <row r="17" spans="1:9">
      <c r="A17" s="18" t="s">
        <v>18</v>
      </c>
      <c r="B17" s="18" t="s">
        <v>53</v>
      </c>
      <c r="C17" s="19" t="s">
        <v>49</v>
      </c>
      <c r="D17" s="19">
        <f>COUNTIF(Table2[Course Title],#REF!)</f>
        <v>0</v>
      </c>
      <c r="E17" s="19" t="e">
        <f>VLOOKUP(#REF!,Data!A$2:D$52,4,FALSE)</f>
        <v>#REF!</v>
      </c>
      <c r="F17" s="19" t="e">
        <f>#REF!*#REF!</f>
        <v>#REF!</v>
      </c>
      <c r="G17" s="51">
        <v>840</v>
      </c>
      <c r="H17" s="19" t="e">
        <f>#REF!-#REF!</f>
        <v>#REF!</v>
      </c>
      <c r="I17" s="24" t="e">
        <f>#REF!/#REF!</f>
        <v>#REF!</v>
      </c>
    </row>
    <row r="18" spans="1:9">
      <c r="A18" s="18" t="s">
        <v>19</v>
      </c>
      <c r="C18" s="19" t="s">
        <v>54</v>
      </c>
      <c r="D18" s="19">
        <f>COUNTIF(Table2[Course Title],#REF!)</f>
        <v>0</v>
      </c>
      <c r="E18" s="19" t="e">
        <f>VLOOKUP(#REF!,Data!A$2:D$52,4,FALSE)</f>
        <v>#REF!</v>
      </c>
      <c r="F18" s="19" t="e">
        <f>#REF!*#REF!</f>
        <v>#REF!</v>
      </c>
      <c r="G18" s="51">
        <v>273</v>
      </c>
      <c r="H18" s="32" t="e">
        <f>#REF!-#REF!</f>
        <v>#REF!</v>
      </c>
      <c r="I18" s="24" t="e">
        <f>#REF!/#REF!</f>
        <v>#REF!</v>
      </c>
    </row>
    <row r="19" spans="1:9">
      <c r="A19" s="18" t="s">
        <v>20</v>
      </c>
      <c r="B19" s="18" t="s">
        <v>53</v>
      </c>
      <c r="C19" s="19" t="s">
        <v>54</v>
      </c>
      <c r="D19" s="19">
        <f>COUNTIF(Table2[Course Title],#REF!)</f>
        <v>0</v>
      </c>
      <c r="E19" s="19" t="e">
        <f>VLOOKUP(#REF!,Data!A$2:D$52,4,FALSE)</f>
        <v>#REF!</v>
      </c>
      <c r="F19" s="19" t="e">
        <f>#REF!*#REF!</f>
        <v>#REF!</v>
      </c>
      <c r="G19" s="51">
        <v>517</v>
      </c>
      <c r="H19" s="19" t="e">
        <f>#REF!-#REF!</f>
        <v>#REF!</v>
      </c>
      <c r="I19" s="24" t="e">
        <f>#REF!/#REF!</f>
        <v>#REF!</v>
      </c>
    </row>
    <row r="20" spans="1:9">
      <c r="A20" s="18" t="s">
        <v>21</v>
      </c>
      <c r="C20" s="19" t="s">
        <v>54</v>
      </c>
      <c r="D20" s="19">
        <f>COUNTIF(Table2[Course Title],#REF!)</f>
        <v>0</v>
      </c>
      <c r="E20" s="19" t="e">
        <f>VLOOKUP(#REF!,Data!A$2:D$52,4,FALSE)</f>
        <v>#REF!</v>
      </c>
      <c r="F20" s="19" t="e">
        <f>#REF!*#REF!</f>
        <v>#REF!</v>
      </c>
      <c r="G20" s="51">
        <v>446</v>
      </c>
      <c r="H20" s="19" t="e">
        <f>#REF!-#REF!</f>
        <v>#REF!</v>
      </c>
      <c r="I20" s="24" t="e">
        <f>#REF!/#REF!</f>
        <v>#REF!</v>
      </c>
    </row>
    <row r="21" spans="1:9" ht="30">
      <c r="A21" s="18" t="s">
        <v>22</v>
      </c>
      <c r="C21" s="19" t="s">
        <v>51</v>
      </c>
      <c r="D21" s="19">
        <f>COUNTIF(Table2[Course Title],#REF!)</f>
        <v>0</v>
      </c>
      <c r="E21" s="19" t="e">
        <f>VLOOKUP(#REF!,Data!A$2:D$52,4,FALSE)</f>
        <v>#REF!</v>
      </c>
      <c r="F21" s="19" t="e">
        <f>#REF!*#REF!</f>
        <v>#REF!</v>
      </c>
      <c r="G21" s="51">
        <v>323</v>
      </c>
      <c r="H21" s="32" t="e">
        <f>#REF!-#REF!</f>
        <v>#REF!</v>
      </c>
      <c r="I21" s="24" t="e">
        <f>#REF!/#REF!</f>
        <v>#REF!</v>
      </c>
    </row>
    <row r="22" spans="1:9">
      <c r="A22" s="18" t="s">
        <v>23</v>
      </c>
      <c r="B22" s="18" t="s">
        <v>53</v>
      </c>
      <c r="C22" s="19" t="s">
        <v>49</v>
      </c>
      <c r="D22" s="19">
        <f>COUNTIF(Table2[Course Title],#REF!)</f>
        <v>0</v>
      </c>
      <c r="E22" s="19" t="e">
        <f>VLOOKUP(#REF!,Data!A$2:D$52,4,FALSE)</f>
        <v>#REF!</v>
      </c>
      <c r="F22" s="19" t="e">
        <f>#REF!*#REF!</f>
        <v>#REF!</v>
      </c>
      <c r="G22" s="51">
        <v>750</v>
      </c>
      <c r="H22" s="19" t="e">
        <f>#REF!-#REF!</f>
        <v>#REF!</v>
      </c>
      <c r="I22" s="24" t="e">
        <f>#REF!/#REF!</f>
        <v>#REF!</v>
      </c>
    </row>
    <row r="23" spans="1:9" ht="30">
      <c r="A23" s="18" t="s">
        <v>24</v>
      </c>
      <c r="B23" s="18" t="s">
        <v>53</v>
      </c>
      <c r="C23" s="19" t="s">
        <v>49</v>
      </c>
      <c r="D23" s="19">
        <f>COUNTIF(Table2[Course Title],#REF!)</f>
        <v>0</v>
      </c>
      <c r="E23" s="19" t="e">
        <f>VLOOKUP(#REF!,Data!A$2:D$52,4,FALSE)</f>
        <v>#REF!</v>
      </c>
      <c r="F23" s="19" t="e">
        <f>#REF!*#REF!</f>
        <v>#REF!</v>
      </c>
      <c r="G23" s="51">
        <v>1290</v>
      </c>
      <c r="H23" s="19" t="e">
        <f>#REF!-#REF!</f>
        <v>#REF!</v>
      </c>
      <c r="I23" s="24" t="e">
        <f>#REF!/#REF!</f>
        <v>#REF!</v>
      </c>
    </row>
    <row r="24" spans="1:9">
      <c r="A24" s="18" t="s">
        <v>25</v>
      </c>
      <c r="B24" s="18" t="s">
        <v>53</v>
      </c>
      <c r="C24" s="19" t="s">
        <v>49</v>
      </c>
      <c r="D24" s="19">
        <f>COUNTIF(Table2[Course Title],#REF!)</f>
        <v>0</v>
      </c>
      <c r="E24" s="19" t="e">
        <f>VLOOKUP(#REF!,Data!A$2:D$52,4,FALSE)</f>
        <v>#REF!</v>
      </c>
      <c r="F24" s="19" t="e">
        <f>#REF!*#REF!</f>
        <v>#REF!</v>
      </c>
      <c r="G24" s="51">
        <v>660</v>
      </c>
      <c r="H24" s="19" t="e">
        <f>#REF!-#REF!</f>
        <v>#REF!</v>
      </c>
      <c r="I24" s="24" t="e">
        <f>#REF!/#REF!</f>
        <v>#REF!</v>
      </c>
    </row>
    <row r="25" spans="1:9">
      <c r="A25" s="18" t="s">
        <v>26</v>
      </c>
      <c r="B25" s="18" t="s">
        <v>53</v>
      </c>
      <c r="C25" s="19" t="s">
        <v>49</v>
      </c>
      <c r="D25" s="19">
        <f>COUNTIF(Table2[Course Title],#REF!)</f>
        <v>0</v>
      </c>
      <c r="E25" s="19" t="e">
        <f>VLOOKUP(#REF!,Data!A$2:D$52,4,FALSE)</f>
        <v>#REF!</v>
      </c>
      <c r="F25" s="19" t="e">
        <f>#REF!*#REF!</f>
        <v>#REF!</v>
      </c>
      <c r="G25" s="51">
        <v>300</v>
      </c>
      <c r="H25" s="19" t="e">
        <f>#REF!-#REF!</f>
        <v>#REF!</v>
      </c>
      <c r="I25" s="24" t="e">
        <f>#REF!/#REF!</f>
        <v>#REF!</v>
      </c>
    </row>
    <row r="26" spans="1:9">
      <c r="A26" s="18" t="s">
        <v>27</v>
      </c>
      <c r="B26" s="18" t="s">
        <v>53</v>
      </c>
      <c r="C26" s="19" t="s">
        <v>49</v>
      </c>
      <c r="D26" s="19">
        <f>COUNTIF(Table2[Course Title],#REF!)</f>
        <v>0</v>
      </c>
      <c r="E26" s="19" t="e">
        <f>VLOOKUP(#REF!,Data!A$2:D$52,4,FALSE)</f>
        <v>#REF!</v>
      </c>
      <c r="F26" s="19" t="e">
        <f>#REF!*#REF!</f>
        <v>#REF!</v>
      </c>
      <c r="G26" s="51">
        <v>330</v>
      </c>
      <c r="H26" s="19" t="e">
        <f>#REF!-#REF!</f>
        <v>#REF!</v>
      </c>
      <c r="I26" s="24" t="e">
        <f>#REF!/#REF!</f>
        <v>#REF!</v>
      </c>
    </row>
    <row r="27" spans="1:9">
      <c r="A27" s="18" t="s">
        <v>28</v>
      </c>
      <c r="C27" s="19" t="s">
        <v>50</v>
      </c>
      <c r="D27" s="19">
        <f>COUNTIF(Table2[Course Title],#REF!)</f>
        <v>0</v>
      </c>
      <c r="E27" s="19" t="e">
        <f>VLOOKUP(#REF!,Data!A$2:D$52,4,FALSE)</f>
        <v>#REF!</v>
      </c>
      <c r="F27" s="19" t="e">
        <f>#REF!*#REF!</f>
        <v>#REF!</v>
      </c>
      <c r="G27" s="51">
        <v>385</v>
      </c>
      <c r="H27" s="19" t="e">
        <f>#REF!-#REF!</f>
        <v>#REF!</v>
      </c>
      <c r="I27" s="24" t="e">
        <f>#REF!/#REF!</f>
        <v>#REF!</v>
      </c>
    </row>
    <row r="28" spans="1:9">
      <c r="A28" s="18" t="s">
        <v>29</v>
      </c>
      <c r="C28" s="19" t="s">
        <v>50</v>
      </c>
      <c r="D28" s="19">
        <f>COUNTIF(Table2[Course Title],#REF!)</f>
        <v>0</v>
      </c>
      <c r="E28" s="19" t="e">
        <f>VLOOKUP(#REF!,Data!A$2:D$52,4,FALSE)</f>
        <v>#REF!</v>
      </c>
      <c r="F28" s="19" t="e">
        <f>#REF!*#REF!</f>
        <v>#REF!</v>
      </c>
      <c r="G28" s="51">
        <v>289</v>
      </c>
      <c r="H28" s="32" t="e">
        <f>#REF!-#REF!</f>
        <v>#REF!</v>
      </c>
      <c r="I28" s="24" t="e">
        <f>#REF!/#REF!</f>
        <v>#REF!</v>
      </c>
    </row>
    <row r="29" spans="1:9">
      <c r="A29" s="18" t="s">
        <v>31</v>
      </c>
      <c r="C29" s="19" t="s">
        <v>50</v>
      </c>
      <c r="D29" s="19">
        <f>COUNTIF(Table2[Course Title],#REF!)</f>
        <v>0</v>
      </c>
      <c r="E29" s="19" t="e">
        <f>VLOOKUP(#REF!,Data!A$2:D$52,4,FALSE)</f>
        <v>#REF!</v>
      </c>
      <c r="F29" s="19" t="e">
        <f>#REF!*#REF!</f>
        <v>#REF!</v>
      </c>
      <c r="G29" s="51">
        <v>96</v>
      </c>
      <c r="H29" s="32" t="e">
        <f>#REF!-#REF!</f>
        <v>#REF!</v>
      </c>
      <c r="I29" s="24" t="e">
        <f>#REF!/#REF!</f>
        <v>#REF!</v>
      </c>
    </row>
    <row r="30" spans="1:9" ht="30">
      <c r="A30" s="18" t="s">
        <v>32</v>
      </c>
      <c r="C30" s="19" t="s">
        <v>54</v>
      </c>
      <c r="D30" s="19">
        <f>COUNTIF(Table2[Course Title],#REF!)</f>
        <v>0</v>
      </c>
      <c r="E30" s="19" t="e">
        <f>VLOOKUP(#REF!,Data!A$2:D$52,4,FALSE)</f>
        <v>#REF!</v>
      </c>
      <c r="F30" s="19" t="e">
        <f>#REF!*#REF!</f>
        <v>#REF!</v>
      </c>
      <c r="G30" s="51">
        <v>294</v>
      </c>
      <c r="H30" s="32" t="e">
        <f>#REF!-#REF!</f>
        <v>#REF!</v>
      </c>
      <c r="I30" s="24" t="e">
        <f>#REF!/#REF!</f>
        <v>#REF!</v>
      </c>
    </row>
    <row r="31" spans="1:9">
      <c r="A31" s="20" t="s">
        <v>55</v>
      </c>
      <c r="B31" s="20" t="s">
        <v>53</v>
      </c>
      <c r="C31" s="19" t="s">
        <v>54</v>
      </c>
      <c r="D31" s="19">
        <f>COUNTIF(Table2[Course Title],#REF!)</f>
        <v>0</v>
      </c>
      <c r="E31" s="19" t="e">
        <f>VLOOKUP(#REF!,Data!A$2:D$52,4,FALSE)</f>
        <v>#REF!</v>
      </c>
      <c r="F31" s="19" t="e">
        <f>#REF!*#REF!</f>
        <v>#REF!</v>
      </c>
      <c r="G31" s="51">
        <v>408</v>
      </c>
      <c r="H31" s="19" t="e">
        <f>#REF!-#REF!</f>
        <v>#REF!</v>
      </c>
      <c r="I31" s="24" t="e">
        <f>#REF!/#REF!</f>
        <v>#REF!</v>
      </c>
    </row>
    <row r="32" spans="1:9">
      <c r="A32" s="18" t="s">
        <v>33</v>
      </c>
      <c r="C32" s="19" t="s">
        <v>54</v>
      </c>
      <c r="D32" s="19">
        <f>COUNTIF(Table2[Course Title],#REF!)</f>
        <v>0</v>
      </c>
      <c r="E32" s="19" t="e">
        <f>VLOOKUP(#REF!,Data!A$2:D$52,4,FALSE)</f>
        <v>#REF!</v>
      </c>
      <c r="F32" s="19" t="e">
        <f>#REF!*#REF!</f>
        <v>#REF!</v>
      </c>
      <c r="G32" s="51">
        <v>607</v>
      </c>
      <c r="H32" s="32" t="e">
        <f>#REF!-#REF!</f>
        <v>#REF!</v>
      </c>
      <c r="I32" s="24" t="e">
        <f>#REF!/#REF!</f>
        <v>#REF!</v>
      </c>
    </row>
    <row r="33" spans="1:9">
      <c r="A33" s="18" t="s">
        <v>34</v>
      </c>
      <c r="C33" s="19" t="s">
        <v>50</v>
      </c>
      <c r="D33" s="19">
        <f>COUNTIF(Table2[Course Title],#REF!)</f>
        <v>0</v>
      </c>
      <c r="E33" s="19" t="e">
        <f>VLOOKUP(#REF!,Data!A$2:D$52,4,FALSE)</f>
        <v>#REF!</v>
      </c>
      <c r="F33" s="19" t="e">
        <f>#REF!*#REF!</f>
        <v>#REF!</v>
      </c>
      <c r="G33" s="51">
        <v>168</v>
      </c>
      <c r="H33" s="32" t="e">
        <f>#REF!-#REF!</f>
        <v>#REF!</v>
      </c>
      <c r="I33" s="24" t="e">
        <f>#REF!/#REF!</f>
        <v>#REF!</v>
      </c>
    </row>
    <row r="34" spans="1:9">
      <c r="A34" s="18" t="s">
        <v>35</v>
      </c>
      <c r="B34" s="18" t="s">
        <v>53</v>
      </c>
      <c r="C34" s="19" t="s">
        <v>49</v>
      </c>
      <c r="D34" s="19">
        <f>COUNTIF(Table2[Course Title],#REF!)</f>
        <v>0</v>
      </c>
      <c r="E34" s="19" t="e">
        <f>VLOOKUP(#REF!,Data!A$2:D$52,4,FALSE)</f>
        <v>#REF!</v>
      </c>
      <c r="F34" s="19" t="e">
        <f>#REF!*#REF!</f>
        <v>#REF!</v>
      </c>
      <c r="G34" s="51">
        <v>690</v>
      </c>
      <c r="H34" s="19" t="e">
        <f>#REF!-#REF!</f>
        <v>#REF!</v>
      </c>
      <c r="I34" s="24" t="e">
        <f>#REF!/#REF!</f>
        <v>#REF!</v>
      </c>
    </row>
    <row r="35" spans="1:9">
      <c r="A35" s="18" t="s">
        <v>36</v>
      </c>
      <c r="C35" s="19" t="s">
        <v>51</v>
      </c>
      <c r="D35" s="19">
        <f>COUNTIF(Table2[Course Title],#REF!)</f>
        <v>0</v>
      </c>
      <c r="E35" s="19" t="e">
        <f>VLOOKUP(#REF!,Data!A$2:D$52,4,FALSE)</f>
        <v>#REF!</v>
      </c>
      <c r="F35" s="19" t="e">
        <f>#REF!*#REF!</f>
        <v>#REF!</v>
      </c>
      <c r="G35" s="51">
        <v>220</v>
      </c>
      <c r="H35" s="32" t="e">
        <f>#REF!-#REF!</f>
        <v>#REF!</v>
      </c>
      <c r="I35" s="24" t="e">
        <f>#REF!/#REF!</f>
        <v>#REF!</v>
      </c>
    </row>
    <row r="36" spans="1:9">
      <c r="A36" s="18" t="s">
        <v>38</v>
      </c>
      <c r="C36" s="19" t="s">
        <v>50</v>
      </c>
      <c r="D36" s="19">
        <f>COUNTIF(Table2[Course Title],#REF!)</f>
        <v>0</v>
      </c>
      <c r="E36" s="19" t="e">
        <f>VLOOKUP(#REF!,Data!A$2:D$52,4,FALSE)</f>
        <v>#REF!</v>
      </c>
      <c r="F36" s="19" t="e">
        <f>#REF!*#REF!</f>
        <v>#REF!</v>
      </c>
      <c r="G36" s="51">
        <v>683</v>
      </c>
      <c r="H36" s="32" t="e">
        <f>#REF!-#REF!</f>
        <v>#REF!</v>
      </c>
      <c r="I36" s="24" t="e">
        <f>#REF!/#REF!</f>
        <v>#REF!</v>
      </c>
    </row>
    <row r="37" spans="1:9">
      <c r="A37" s="18" t="s">
        <v>39</v>
      </c>
      <c r="C37" s="19" t="s">
        <v>54</v>
      </c>
      <c r="D37" s="19">
        <f>COUNTIF(Table2[Course Title],#REF!)</f>
        <v>0</v>
      </c>
      <c r="E37" s="19" t="e">
        <f>VLOOKUP(#REF!,Data!A$2:D$52,4,FALSE)</f>
        <v>#REF!</v>
      </c>
      <c r="F37" s="19" t="e">
        <f>#REF!*#REF!</f>
        <v>#REF!</v>
      </c>
      <c r="G37" s="51">
        <v>769</v>
      </c>
      <c r="H37" s="32" t="e">
        <f>#REF!-#REF!</f>
        <v>#REF!</v>
      </c>
      <c r="I37" s="24" t="e">
        <f>#REF!/#REF!</f>
        <v>#REF!</v>
      </c>
    </row>
    <row r="38" spans="1:9">
      <c r="A38" s="18" t="s">
        <v>56</v>
      </c>
      <c r="C38" s="19" t="s">
        <v>57</v>
      </c>
      <c r="D38" s="19">
        <f>COUNTIF(Table2[Course Title],#REF!)</f>
        <v>0</v>
      </c>
      <c r="E38" s="19" t="e">
        <f>VLOOKUP(#REF!,Data!A$2:D$52,4,FALSE)</f>
        <v>#REF!</v>
      </c>
      <c r="F38" s="19" t="e">
        <f>#REF!*#REF!</f>
        <v>#REF!</v>
      </c>
      <c r="G38" s="51">
        <v>49</v>
      </c>
      <c r="H38" s="32" t="e">
        <f>#REF!-#REF!</f>
        <v>#REF!</v>
      </c>
      <c r="I38" s="24" t="e">
        <f>#REF!/#REF!</f>
        <v>#REF!</v>
      </c>
    </row>
    <row r="39" spans="1:9" ht="15.75" thickBot="1">
      <c r="A39" s="18" t="s">
        <v>40</v>
      </c>
      <c r="B39" s="18" t="s">
        <v>53</v>
      </c>
      <c r="C39" s="19" t="s">
        <v>49</v>
      </c>
      <c r="D39" s="19">
        <f>COUNTIF(Table2[Course Title],#REF!)</f>
        <v>0</v>
      </c>
      <c r="E39" s="19" t="e">
        <f>VLOOKUP(#REF!,Data!A$2:D$52,4,FALSE)</f>
        <v>#REF!</v>
      </c>
      <c r="F39" s="19" t="e">
        <f>#REF!*#REF!</f>
        <v>#REF!</v>
      </c>
      <c r="G39" s="51">
        <v>120</v>
      </c>
      <c r="H39" s="19" t="e">
        <f>#REF!-#REF!</f>
        <v>#REF!</v>
      </c>
      <c r="I39" s="24" t="e">
        <f>#REF!/#REF!</f>
        <v>#REF!</v>
      </c>
    </row>
    <row r="40" spans="1:9" ht="16.5" thickTop="1" thickBot="1">
      <c r="A40" s="18" t="s">
        <v>58</v>
      </c>
      <c r="D40" s="19" t="e">
        <f>SUBTOTAL(109,#REF!)</f>
        <v>#REF!</v>
      </c>
      <c r="F40" s="19" t="e">
        <f>SUBTOTAL(109,#REF!)</f>
        <v>#REF!</v>
      </c>
      <c r="G40" s="19" t="e">
        <f>SUBTOTAL(109,#REF!)</f>
        <v>#REF!</v>
      </c>
      <c r="H40" s="40"/>
      <c r="I40" s="33" t="e">
        <f>SUM(F40/G40)</f>
        <v>#REF!</v>
      </c>
    </row>
    <row r="41" spans="1:9" ht="15.75" thickTop="1"/>
    <row r="43" spans="1:9">
      <c r="A43" s="41" t="s">
        <v>59</v>
      </c>
      <c r="B43" s="41" t="s">
        <v>60</v>
      </c>
      <c r="C43" s="42" t="s">
        <v>45</v>
      </c>
      <c r="D43" s="42" t="s">
        <v>3</v>
      </c>
      <c r="E43" s="47" t="s">
        <v>61</v>
      </c>
      <c r="F43" s="49" t="s">
        <v>62</v>
      </c>
      <c r="H43" s="18"/>
      <c r="I43" s="18"/>
    </row>
    <row r="44" spans="1:9">
      <c r="A44" s="21" t="s">
        <v>63</v>
      </c>
      <c r="B44" s="21"/>
      <c r="C44" s="22" t="s">
        <v>57</v>
      </c>
      <c r="D44" s="22">
        <v>37</v>
      </c>
      <c r="E44" s="48"/>
      <c r="F44" s="48" t="s">
        <v>64</v>
      </c>
      <c r="H44" s="18"/>
      <c r="I44" s="18"/>
    </row>
    <row r="45" spans="1:9">
      <c r="A45" s="21" t="s">
        <v>4</v>
      </c>
      <c r="B45" s="21"/>
      <c r="C45" s="22" t="s">
        <v>49</v>
      </c>
      <c r="D45" s="22">
        <v>79</v>
      </c>
      <c r="E45" s="22"/>
      <c r="F45" s="22" t="s">
        <v>64</v>
      </c>
      <c r="G45" s="18"/>
      <c r="H45" s="18"/>
      <c r="I45" s="18"/>
    </row>
    <row r="46" spans="1:9">
      <c r="A46" s="21" t="s">
        <v>65</v>
      </c>
      <c r="B46" s="21"/>
      <c r="C46" s="22" t="s">
        <v>54</v>
      </c>
      <c r="D46" s="22">
        <v>163</v>
      </c>
      <c r="E46" s="22"/>
      <c r="F46" s="22" t="s">
        <v>64</v>
      </c>
      <c r="H46" s="18"/>
      <c r="I46" s="18"/>
    </row>
    <row r="47" spans="1:9">
      <c r="A47" s="21" t="s">
        <v>66</v>
      </c>
      <c r="B47" s="21"/>
      <c r="C47" s="22" t="s">
        <v>51</v>
      </c>
      <c r="D47" s="22">
        <v>261</v>
      </c>
      <c r="E47" s="22"/>
      <c r="F47" s="22" t="s">
        <v>64</v>
      </c>
      <c r="H47" s="18"/>
      <c r="I47" s="18"/>
    </row>
    <row r="48" spans="1:9">
      <c r="A48" s="21" t="s">
        <v>67</v>
      </c>
      <c r="B48" s="21"/>
      <c r="C48" s="22" t="s">
        <v>50</v>
      </c>
      <c r="D48" s="22">
        <v>347</v>
      </c>
      <c r="E48" s="22"/>
      <c r="F48" s="22" t="s">
        <v>64</v>
      </c>
      <c r="H48" s="18"/>
      <c r="I48" s="18"/>
    </row>
    <row r="49" spans="1:9">
      <c r="A49" s="21" t="s">
        <v>68</v>
      </c>
      <c r="B49" s="21"/>
      <c r="C49" s="22" t="s">
        <v>50</v>
      </c>
      <c r="D49" s="22">
        <v>392</v>
      </c>
      <c r="E49" s="22"/>
      <c r="F49" s="22" t="s">
        <v>69</v>
      </c>
      <c r="H49" s="18"/>
      <c r="I49" s="18"/>
    </row>
    <row r="50" spans="1:9">
      <c r="A50" s="23" t="s">
        <v>70</v>
      </c>
      <c r="B50" s="23"/>
      <c r="C50" s="22" t="s">
        <v>54</v>
      </c>
      <c r="D50" s="22">
        <v>436</v>
      </c>
      <c r="E50" s="22"/>
      <c r="F50" s="22" t="s">
        <v>69</v>
      </c>
      <c r="H50" s="18"/>
      <c r="I50" s="18"/>
    </row>
    <row r="51" spans="1:9">
      <c r="A51" s="21" t="s">
        <v>71</v>
      </c>
      <c r="B51" s="21"/>
      <c r="C51" s="22" t="s">
        <v>51</v>
      </c>
      <c r="D51" s="22">
        <v>459</v>
      </c>
      <c r="E51" s="22"/>
      <c r="F51" s="22" t="s">
        <v>64</v>
      </c>
      <c r="H51" s="18"/>
      <c r="I51" s="18"/>
    </row>
    <row r="52" spans="1:9">
      <c r="A52" s="43" t="s">
        <v>72</v>
      </c>
      <c r="B52" s="43"/>
      <c r="C52" s="44" t="s">
        <v>51</v>
      </c>
      <c r="D52" s="44">
        <v>896</v>
      </c>
      <c r="E52" s="44"/>
      <c r="F52" s="44" t="s">
        <v>64</v>
      </c>
      <c r="H52" s="18"/>
      <c r="I52" s="18"/>
    </row>
    <row r="53" spans="1:9">
      <c r="A53" s="45" t="s">
        <v>58</v>
      </c>
      <c r="B53" s="45"/>
      <c r="C53" s="46"/>
      <c r="D53" s="46">
        <f>SUBTOTAL(109,Table7[Quota Need])</f>
        <v>3070</v>
      </c>
      <c r="E53"/>
      <c r="F53"/>
      <c r="I53" s="19"/>
    </row>
    <row r="54" spans="1:9">
      <c r="A54" s="18" t="s">
        <v>73</v>
      </c>
    </row>
  </sheetData>
  <sortState xmlns:xlrd2="http://schemas.microsoft.com/office/spreadsheetml/2017/richdata2" ref="A43:E51">
    <sortCondition descending="1" ref="D43:D51"/>
  </sortState>
  <conditionalFormatting sqref="D44:E44">
    <cfRule type="cellIs" dxfId="917" priority="6" operator="greaterThan">
      <formula>#REF!</formula>
    </cfRule>
  </conditionalFormatting>
  <conditionalFormatting sqref="H4:H39">
    <cfRule type="cellIs" dxfId="916" priority="14" operator="greaterThanOrEqual">
      <formula>0</formula>
    </cfRule>
  </conditionalFormatting>
  <conditionalFormatting sqref="H4:H40">
    <cfRule type="cellIs" dxfId="915" priority="2" operator="lessThan">
      <formula>1</formula>
    </cfRule>
  </conditionalFormatting>
  <conditionalFormatting sqref="H40">
    <cfRule type="cellIs" dxfId="914" priority="3" operator="greaterThan">
      <formula>$F$13301</formula>
    </cfRule>
  </conditionalFormatting>
  <conditionalFormatting sqref="I4:I39">
    <cfRule type="cellIs" dxfId="913" priority="1" operator="lessThan">
      <formula>1</formula>
    </cfRule>
  </conditionalFormatting>
  <dataValidations count="1">
    <dataValidation type="list" allowBlank="1" showInputMessage="1" showErrorMessage="1" sqref="A37:B38" xr:uid="{00000000-0002-0000-0300-000000000000}">
      <formula1>Class</formula1>
    </dataValidation>
  </dataValidations>
  <pageMargins left="0.7" right="0.7" top="0.75" bottom="0.75" header="0.3" footer="0.3"/>
  <pageSetup orientation="landscape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0"/>
  <dimension ref="A1:E20"/>
  <sheetViews>
    <sheetView zoomScale="110" zoomScaleNormal="110" workbookViewId="0">
      <selection activeCell="G15" sqref="G15"/>
    </sheetView>
  </sheetViews>
  <sheetFormatPr defaultColWidth="11.42578125" defaultRowHeight="15"/>
  <cols>
    <col min="1" max="1" width="14.5703125" bestFit="1" customWidth="1"/>
    <col min="2" max="2" width="19.28515625" customWidth="1"/>
    <col min="3" max="3" width="13.42578125" customWidth="1"/>
    <col min="4" max="4" width="14.28515625" customWidth="1"/>
    <col min="5" max="5" width="24.5703125" style="26" customWidth="1"/>
  </cols>
  <sheetData>
    <row r="1" spans="1:5">
      <c r="A1" s="35" t="s">
        <v>74</v>
      </c>
      <c r="B1" s="36" t="s">
        <v>75</v>
      </c>
      <c r="C1" s="36" t="s">
        <v>76</v>
      </c>
      <c r="D1" s="36" t="s">
        <v>58</v>
      </c>
      <c r="E1" s="37" t="s">
        <v>77</v>
      </c>
    </row>
    <row r="2" spans="1:5">
      <c r="A2" t="s">
        <v>78</v>
      </c>
      <c r="B2" s="22" t="e">
        <f>SUMIF(#REF!,Table57[[#This Row],[Instructor]],Table2[Course Length (Days)])</f>
        <v>#REF!</v>
      </c>
      <c r="C2" s="22" t="e">
        <f>SUMIF(#REF!,Table57[[#This Row],[Instructor]],Table2[Course Length (Days)])</f>
        <v>#REF!</v>
      </c>
      <c r="D2" s="22" t="e">
        <f>SUM(B2+C2)</f>
        <v>#REF!</v>
      </c>
      <c r="E2" s="34" t="e">
        <f t="shared" ref="E2:E20" si="0">SUM(D2/249)</f>
        <v>#REF!</v>
      </c>
    </row>
    <row r="3" spans="1:5">
      <c r="A3" t="s">
        <v>79</v>
      </c>
      <c r="B3" s="22" t="e">
        <f>SUMIF(#REF!,Table57[[#This Row],[Instructor]],Table2[Course Length (Days)])</f>
        <v>#REF!</v>
      </c>
      <c r="C3" s="22" t="e">
        <f>SUMIF(#REF!,Table57[[#This Row],[Instructor]],Table2[Course Length (Days)])</f>
        <v>#REF!</v>
      </c>
      <c r="D3" s="22" t="e">
        <f t="shared" ref="D3:D17" si="1">SUM(B3 + C3)</f>
        <v>#REF!</v>
      </c>
      <c r="E3" s="34" t="e">
        <f t="shared" si="0"/>
        <v>#REF!</v>
      </c>
    </row>
    <row r="4" spans="1:5">
      <c r="A4" t="s">
        <v>80</v>
      </c>
      <c r="B4" s="22" t="e">
        <f>SUMIF(#REF!,Table57[[#This Row],[Instructor]],Table2[Course Length (Days)])</f>
        <v>#REF!</v>
      </c>
      <c r="C4" s="22" t="e">
        <f>SUMIF(#REF!,Table57[[#This Row],[Instructor]],Table2[Course Length (Days)])</f>
        <v>#REF!</v>
      </c>
      <c r="D4" s="22" t="e">
        <f t="shared" si="1"/>
        <v>#REF!</v>
      </c>
      <c r="E4" s="34" t="e">
        <f t="shared" si="0"/>
        <v>#REF!</v>
      </c>
    </row>
    <row r="5" spans="1:5">
      <c r="A5" t="s">
        <v>81</v>
      </c>
      <c r="B5" s="22" t="e">
        <f>SUMIF(#REF!,Table57[[#This Row],[Instructor]],Table2[Course Length (Days)])</f>
        <v>#REF!</v>
      </c>
      <c r="C5" s="22" t="e">
        <f>SUMIF(#REF!,Table57[[#This Row],[Instructor]],Table2[Course Length (Days)])</f>
        <v>#REF!</v>
      </c>
      <c r="D5" s="22" t="e">
        <f t="shared" si="1"/>
        <v>#REF!</v>
      </c>
      <c r="E5" s="34" t="e">
        <f t="shared" si="0"/>
        <v>#REF!</v>
      </c>
    </row>
    <row r="6" spans="1:5">
      <c r="A6" t="s">
        <v>82</v>
      </c>
      <c r="B6" s="22" t="e">
        <f>SUMIF(#REF!,Table57[[#This Row],[Instructor]],Table2[Course Length (Days)])</f>
        <v>#REF!</v>
      </c>
      <c r="C6" s="22" t="e">
        <f>SUMIF(#REF!,Table57[[#This Row],[Instructor]],Table2[Course Length (Days)])</f>
        <v>#REF!</v>
      </c>
      <c r="D6" s="22" t="e">
        <f t="shared" si="1"/>
        <v>#REF!</v>
      </c>
      <c r="E6" s="34" t="e">
        <f t="shared" si="0"/>
        <v>#REF!</v>
      </c>
    </row>
    <row r="7" spans="1:5">
      <c r="A7" t="s">
        <v>83</v>
      </c>
      <c r="B7" s="22" t="e">
        <f>SUMIF(#REF!,Table57[[#This Row],[Instructor]],Table2[Course Length (Days)])</f>
        <v>#REF!</v>
      </c>
      <c r="C7" s="22" t="e">
        <f>SUMIF(#REF!,Table57[[#This Row],[Instructor]],Table2[Course Length (Days)])</f>
        <v>#REF!</v>
      </c>
      <c r="D7" s="22" t="e">
        <f t="shared" si="1"/>
        <v>#REF!</v>
      </c>
      <c r="E7" s="34" t="e">
        <f t="shared" si="0"/>
        <v>#REF!</v>
      </c>
    </row>
    <row r="8" spans="1:5">
      <c r="A8" t="s">
        <v>84</v>
      </c>
      <c r="B8" s="22" t="e">
        <f>SUMIF(#REF!,Table57[[#This Row],[Instructor]],Table2[Course Length (Days)])</f>
        <v>#REF!</v>
      </c>
      <c r="C8" s="22" t="e">
        <f>SUMIF(#REF!,Table57[[#This Row],[Instructor]],Table2[Course Length (Days)])</f>
        <v>#REF!</v>
      </c>
      <c r="D8" s="22" t="e">
        <f t="shared" si="1"/>
        <v>#REF!</v>
      </c>
      <c r="E8" s="34" t="e">
        <f t="shared" si="0"/>
        <v>#REF!</v>
      </c>
    </row>
    <row r="9" spans="1:5">
      <c r="A9" t="s">
        <v>85</v>
      </c>
      <c r="B9" s="22" t="e">
        <f>SUMIF(#REF!,Table57[[#This Row],[Instructor]],Table2[Course Length (Days)])</f>
        <v>#REF!</v>
      </c>
      <c r="C9" s="22" t="e">
        <f>SUMIF(#REF!,Table57[[#This Row],[Instructor]],Table2[Course Length (Days)])</f>
        <v>#REF!</v>
      </c>
      <c r="D9" s="22" t="e">
        <f t="shared" si="1"/>
        <v>#REF!</v>
      </c>
      <c r="E9" s="34" t="e">
        <f t="shared" si="0"/>
        <v>#REF!</v>
      </c>
    </row>
    <row r="10" spans="1:5">
      <c r="A10" t="s">
        <v>86</v>
      </c>
      <c r="B10" s="22" t="e">
        <f>SUMIF(#REF!,Table57[[#This Row],[Instructor]],Table2[Course Length (Days)])</f>
        <v>#REF!</v>
      </c>
      <c r="C10" s="22" t="e">
        <f>SUMIF(#REF!,Table57[[#This Row],[Instructor]],Table2[Course Length (Days)])</f>
        <v>#REF!</v>
      </c>
      <c r="D10" s="22" t="e">
        <f t="shared" si="1"/>
        <v>#REF!</v>
      </c>
      <c r="E10" s="34" t="e">
        <f t="shared" si="0"/>
        <v>#REF!</v>
      </c>
    </row>
    <row r="11" spans="1:5">
      <c r="A11" t="s">
        <v>87</v>
      </c>
      <c r="B11" s="22" t="e">
        <f>SUMIF(#REF!,Table57[[#This Row],[Instructor]],Table2[Course Length (Days)])</f>
        <v>#REF!</v>
      </c>
      <c r="C11" s="22" t="e">
        <f>SUMIF(#REF!,Table57[[#This Row],[Instructor]],Table2[Course Length (Days)])</f>
        <v>#REF!</v>
      </c>
      <c r="D11" s="22" t="e">
        <f t="shared" si="1"/>
        <v>#REF!</v>
      </c>
      <c r="E11" s="34" t="e">
        <f t="shared" si="0"/>
        <v>#REF!</v>
      </c>
    </row>
    <row r="12" spans="1:5">
      <c r="A12" t="s">
        <v>88</v>
      </c>
      <c r="B12" s="22" t="e">
        <f>SUMIF(#REF!,Table57[[#This Row],[Instructor]],Table2[Course Length (Days)])</f>
        <v>#REF!</v>
      </c>
      <c r="C12" s="22" t="e">
        <f>SUMIF(#REF!,Table57[[#This Row],[Instructor]],Table2[Course Length (Days)])</f>
        <v>#REF!</v>
      </c>
      <c r="D12" s="22" t="e">
        <f t="shared" si="1"/>
        <v>#REF!</v>
      </c>
      <c r="E12" s="34" t="e">
        <f t="shared" si="0"/>
        <v>#REF!</v>
      </c>
    </row>
    <row r="13" spans="1:5">
      <c r="A13" t="s">
        <v>89</v>
      </c>
      <c r="B13" s="22" t="e">
        <f>SUMIF(#REF!,Table57[[#This Row],[Instructor]],Table2[Course Length (Days)])</f>
        <v>#REF!</v>
      </c>
      <c r="C13" s="22" t="e">
        <f>SUMIF(#REF!,Table57[[#This Row],[Instructor]],Table2[Course Length (Days)])</f>
        <v>#REF!</v>
      </c>
      <c r="D13" s="22" t="e">
        <f t="shared" si="1"/>
        <v>#REF!</v>
      </c>
      <c r="E13" s="34" t="e">
        <f t="shared" si="0"/>
        <v>#REF!</v>
      </c>
    </row>
    <row r="14" spans="1:5">
      <c r="A14" t="s">
        <v>90</v>
      </c>
      <c r="B14" s="22" t="e">
        <f>SUMIF(#REF!,Table57[[#This Row],[Instructor]],Table2[Course Length (Days)])</f>
        <v>#REF!</v>
      </c>
      <c r="C14" s="22" t="e">
        <f>SUMIF(#REF!,Table57[[#This Row],[Instructor]],Table2[Course Length (Days)])</f>
        <v>#REF!</v>
      </c>
      <c r="D14" s="22" t="e">
        <f t="shared" si="1"/>
        <v>#REF!</v>
      </c>
      <c r="E14" s="34" t="e">
        <f t="shared" si="0"/>
        <v>#REF!</v>
      </c>
    </row>
    <row r="15" spans="1:5">
      <c r="A15" t="s">
        <v>91</v>
      </c>
      <c r="B15" s="22" t="e">
        <f>SUMIF(#REF!,Table57[[#This Row],[Instructor]],Table2[Course Length (Days)])</f>
        <v>#REF!</v>
      </c>
      <c r="C15" s="22" t="e">
        <f>SUMIF(#REF!,Table57[[#This Row],[Instructor]],Table2[Course Length (Days)])</f>
        <v>#REF!</v>
      </c>
      <c r="D15" s="22" t="e">
        <f t="shared" si="1"/>
        <v>#REF!</v>
      </c>
      <c r="E15" s="34" t="e">
        <f t="shared" si="0"/>
        <v>#REF!</v>
      </c>
    </row>
    <row r="16" spans="1:5">
      <c r="A16" t="s">
        <v>92</v>
      </c>
      <c r="B16" s="22" t="e">
        <f>SUMIF(#REF!,Table57[[#This Row],[Instructor]],Table2[Course Length (Days)])</f>
        <v>#REF!</v>
      </c>
      <c r="C16" s="22" t="e">
        <f>SUMIF(#REF!,Table57[[#This Row],[Instructor]],Table2[Course Length (Days)])</f>
        <v>#REF!</v>
      </c>
      <c r="D16" s="22" t="e">
        <f t="shared" si="1"/>
        <v>#REF!</v>
      </c>
      <c r="E16" s="34" t="e">
        <f t="shared" si="0"/>
        <v>#REF!</v>
      </c>
    </row>
    <row r="17" spans="1:5">
      <c r="A17" t="s">
        <v>93</v>
      </c>
      <c r="B17" s="22" t="e">
        <f>SUMIF(#REF!,Table57[[#This Row],[Instructor]],Table2[Course Length (Days)])</f>
        <v>#REF!</v>
      </c>
      <c r="C17" s="22" t="e">
        <f>SUMIF(#REF!,Table57[[#This Row],[Instructor]],Table2[Course Length (Days)])</f>
        <v>#REF!</v>
      </c>
      <c r="D17" s="22" t="e">
        <f t="shared" si="1"/>
        <v>#REF!</v>
      </c>
      <c r="E17" s="34" t="e">
        <f t="shared" si="0"/>
        <v>#REF!</v>
      </c>
    </row>
    <row r="18" spans="1:5">
      <c r="A18" t="s">
        <v>94</v>
      </c>
      <c r="B18" s="22" t="e">
        <f>SUMIF(#REF!,Table57[[#This Row],[Instructor]],Table2[Course Length (Days)])</f>
        <v>#REF!</v>
      </c>
      <c r="C18" s="22" t="e">
        <f>SUMIF(#REF!,Table57[[#This Row],[Instructor]],Table2[Course Length (Days)])</f>
        <v>#REF!</v>
      </c>
      <c r="D18" s="22">
        <v>21</v>
      </c>
      <c r="E18" s="34">
        <f t="shared" si="0"/>
        <v>8.4337349397590355E-2</v>
      </c>
    </row>
    <row r="19" spans="1:5">
      <c r="A19" t="s">
        <v>95</v>
      </c>
      <c r="B19" s="22" t="e">
        <f>SUMIF(#REF!,Table57[[#This Row],[Instructor]],Table2[Course Length (Days)])</f>
        <v>#REF!</v>
      </c>
      <c r="C19" s="22" t="e">
        <f>SUMIF(#REF!,Table57[[#This Row],[Instructor]],Table2[Course Length (Days)])</f>
        <v>#REF!</v>
      </c>
      <c r="D19" s="22">
        <v>3</v>
      </c>
      <c r="E19" s="34">
        <f t="shared" si="0"/>
        <v>1.2048192771084338E-2</v>
      </c>
    </row>
    <row r="20" spans="1:5">
      <c r="A20" t="s">
        <v>96</v>
      </c>
      <c r="B20" s="22" t="e">
        <f>SUMIF(#REF!,Table57[[#This Row],[Instructor]],Table2[Course Length (Days)])</f>
        <v>#REF!</v>
      </c>
      <c r="C20" s="22" t="e">
        <f>SUMIF(#REF!,Table57[[#This Row],[Instructor]],Table2[Course Length (Days)])</f>
        <v>#REF!</v>
      </c>
      <c r="D20" s="22" t="e">
        <f>SUM(B20 + C20)</f>
        <v>#REF!</v>
      </c>
      <c r="E20" s="34" t="e">
        <f t="shared" si="0"/>
        <v>#REF!</v>
      </c>
    </row>
  </sheetData>
  <pageMargins left="0.7" right="0.7" top="0.75" bottom="0.75" header="0.3" footer="0.3"/>
  <pageSetup orientation="landscape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11"/>
  <dimension ref="A1:E20"/>
  <sheetViews>
    <sheetView zoomScale="110" zoomScaleNormal="110" workbookViewId="0">
      <selection activeCell="D28" sqref="D28"/>
    </sheetView>
  </sheetViews>
  <sheetFormatPr defaultColWidth="11.42578125" defaultRowHeight="15"/>
  <cols>
    <col min="1" max="1" width="14.5703125" bestFit="1" customWidth="1"/>
    <col min="2" max="2" width="19.28515625" customWidth="1"/>
    <col min="3" max="3" width="13.42578125" customWidth="1"/>
    <col min="4" max="4" width="14.28515625" customWidth="1"/>
    <col min="5" max="5" width="24.5703125" style="26" customWidth="1"/>
  </cols>
  <sheetData>
    <row r="1" spans="1:5">
      <c r="A1" s="35" t="s">
        <v>74</v>
      </c>
      <c r="B1" s="36" t="s">
        <v>75</v>
      </c>
      <c r="C1" s="36" t="s">
        <v>76</v>
      </c>
      <c r="D1" s="36" t="s">
        <v>58</v>
      </c>
      <c r="E1" s="37" t="s">
        <v>77</v>
      </c>
    </row>
    <row r="2" spans="1:5">
      <c r="A2" t="s">
        <v>78</v>
      </c>
      <c r="B2" s="22" t="e">
        <f>COUNTIF(#REF!,Table5[[#This Row],[Instructor]])</f>
        <v>#REF!</v>
      </c>
      <c r="C2" s="22" t="e">
        <f>COUNTIF(#REF!,Table5[[#This Row],[Instructor]])</f>
        <v>#REF!</v>
      </c>
      <c r="D2" s="22" t="e">
        <f>SUM(B2+C2)</f>
        <v>#REF!</v>
      </c>
      <c r="E2" s="34" t="e">
        <f t="shared" ref="E2:E20" si="0">SUM(D2/52)</f>
        <v>#REF!</v>
      </c>
    </row>
    <row r="3" spans="1:5">
      <c r="A3" t="s">
        <v>81</v>
      </c>
      <c r="B3" s="22" t="e">
        <f>COUNTIF(#REF!,Table5[[#This Row],[Instructor]])</f>
        <v>#REF!</v>
      </c>
      <c r="C3" s="22" t="e">
        <f>COUNTIF(#REF!,Table5[[#This Row],[Instructor]])</f>
        <v>#REF!</v>
      </c>
      <c r="D3" s="22" t="e">
        <f>SUM(B3 + C3)</f>
        <v>#REF!</v>
      </c>
      <c r="E3" s="34" t="e">
        <f t="shared" si="0"/>
        <v>#REF!</v>
      </c>
    </row>
    <row r="4" spans="1:5">
      <c r="A4" t="s">
        <v>80</v>
      </c>
      <c r="B4" s="22" t="e">
        <f>COUNTIF(#REF!,Table5[[#This Row],[Instructor]])</f>
        <v>#REF!</v>
      </c>
      <c r="C4" s="22" t="e">
        <f>COUNTIF(#REF!,Table5[[#This Row],[Instructor]])</f>
        <v>#REF!</v>
      </c>
      <c r="D4" s="22" t="e">
        <f>SUM(B4 + C4)</f>
        <v>#REF!</v>
      </c>
      <c r="E4" s="34" t="e">
        <f t="shared" si="0"/>
        <v>#REF!</v>
      </c>
    </row>
    <row r="5" spans="1:5">
      <c r="A5" t="s">
        <v>84</v>
      </c>
      <c r="B5" s="22" t="e">
        <f>COUNTIF(#REF!,Table5[[#This Row],[Instructor]])</f>
        <v>#REF!</v>
      </c>
      <c r="C5" s="22" t="e">
        <f>COUNTIF(#REF!,Table5[[#This Row],[Instructor]])</f>
        <v>#REF!</v>
      </c>
      <c r="D5" s="22" t="e">
        <f>SUM(B5 + C5)</f>
        <v>#REF!</v>
      </c>
      <c r="E5" s="34" t="e">
        <f t="shared" si="0"/>
        <v>#REF!</v>
      </c>
    </row>
    <row r="6" spans="1:5">
      <c r="A6" t="s">
        <v>79</v>
      </c>
      <c r="B6" s="22" t="e">
        <f>COUNTIF(#REF!,Table5[[#This Row],[Instructor]])</f>
        <v>#REF!</v>
      </c>
      <c r="C6" s="22" t="e">
        <f>COUNTIF(#REF!,Table5[[#This Row],[Instructor]])</f>
        <v>#REF!</v>
      </c>
      <c r="D6" s="22" t="e">
        <f>SUM(B6 + C6)</f>
        <v>#REF!</v>
      </c>
      <c r="E6" s="34" t="e">
        <f t="shared" si="0"/>
        <v>#REF!</v>
      </c>
    </row>
    <row r="7" spans="1:5">
      <c r="A7" t="s">
        <v>88</v>
      </c>
      <c r="B7" s="22" t="e">
        <f>COUNTIF(#REF!,Table5[[#This Row],[Instructor]])</f>
        <v>#REF!</v>
      </c>
      <c r="C7" s="22" t="e">
        <f>COUNTIF(#REF!,Table5[[#This Row],[Instructor]])</f>
        <v>#REF!</v>
      </c>
      <c r="D7" s="22" t="e">
        <f>SUM(B7 + C7)</f>
        <v>#REF!</v>
      </c>
      <c r="E7" s="34" t="e">
        <f t="shared" si="0"/>
        <v>#REF!</v>
      </c>
    </row>
    <row r="8" spans="1:5">
      <c r="A8" t="s">
        <v>94</v>
      </c>
      <c r="B8" s="22" t="e">
        <f>COUNTIF(#REF!,Table5[[#This Row],[Instructor]])</f>
        <v>#REF!</v>
      </c>
      <c r="C8" s="22" t="e">
        <f>COUNTIF(#REF!,Table5[[#This Row],[Instructor]])</f>
        <v>#REF!</v>
      </c>
      <c r="D8" s="22">
        <v>21</v>
      </c>
      <c r="E8" s="34">
        <f t="shared" si="0"/>
        <v>0.40384615384615385</v>
      </c>
    </row>
    <row r="9" spans="1:5">
      <c r="A9" t="s">
        <v>86</v>
      </c>
      <c r="B9" s="22" t="e">
        <f>COUNTIF(#REF!,Table5[[#This Row],[Instructor]])</f>
        <v>#REF!</v>
      </c>
      <c r="C9" s="22" t="e">
        <f>COUNTIF(#REF!,Table5[[#This Row],[Instructor]])</f>
        <v>#REF!</v>
      </c>
      <c r="D9" s="22" t="e">
        <f t="shared" ref="D9:D18" si="1">SUM(B9 + C9)</f>
        <v>#REF!</v>
      </c>
      <c r="E9" s="34" t="e">
        <f t="shared" si="0"/>
        <v>#REF!</v>
      </c>
    </row>
    <row r="10" spans="1:5">
      <c r="A10" t="s">
        <v>82</v>
      </c>
      <c r="B10" s="22" t="e">
        <f>COUNTIF(#REF!,Table5[[#This Row],[Instructor]])</f>
        <v>#REF!</v>
      </c>
      <c r="C10" s="22" t="e">
        <f>COUNTIF(#REF!,Table5[[#This Row],[Instructor]])</f>
        <v>#REF!</v>
      </c>
      <c r="D10" s="22" t="e">
        <f t="shared" si="1"/>
        <v>#REF!</v>
      </c>
      <c r="E10" s="34" t="e">
        <f t="shared" si="0"/>
        <v>#REF!</v>
      </c>
    </row>
    <row r="11" spans="1:5">
      <c r="A11" t="s">
        <v>85</v>
      </c>
      <c r="B11" s="22" t="e">
        <f>COUNTIF(#REF!,Table5[[#This Row],[Instructor]])</f>
        <v>#REF!</v>
      </c>
      <c r="C11" s="22" t="e">
        <f>COUNTIF(#REF!,Table5[[#This Row],[Instructor]])</f>
        <v>#REF!</v>
      </c>
      <c r="D11" s="22" t="e">
        <f t="shared" si="1"/>
        <v>#REF!</v>
      </c>
      <c r="E11" s="34" t="e">
        <f t="shared" si="0"/>
        <v>#REF!</v>
      </c>
    </row>
    <row r="12" spans="1:5">
      <c r="A12" t="s">
        <v>87</v>
      </c>
      <c r="B12" s="22" t="e">
        <f>COUNTIF(#REF!,Table5[[#This Row],[Instructor]])</f>
        <v>#REF!</v>
      </c>
      <c r="C12" s="22" t="e">
        <f>COUNTIF(#REF!,Table5[[#This Row],[Instructor]])</f>
        <v>#REF!</v>
      </c>
      <c r="D12" s="22" t="e">
        <f t="shared" si="1"/>
        <v>#REF!</v>
      </c>
      <c r="E12" s="34" t="e">
        <f t="shared" si="0"/>
        <v>#REF!</v>
      </c>
    </row>
    <row r="13" spans="1:5">
      <c r="A13" t="s">
        <v>83</v>
      </c>
      <c r="B13" s="22" t="e">
        <f>COUNTIF(#REF!,Table5[[#This Row],[Instructor]])</f>
        <v>#REF!</v>
      </c>
      <c r="C13" s="22" t="e">
        <f>COUNTIF(#REF!,Table5[[#This Row],[Instructor]])</f>
        <v>#REF!</v>
      </c>
      <c r="D13" s="22" t="e">
        <f t="shared" si="1"/>
        <v>#REF!</v>
      </c>
      <c r="E13" s="34" t="e">
        <f t="shared" si="0"/>
        <v>#REF!</v>
      </c>
    </row>
    <row r="14" spans="1:5">
      <c r="A14" t="s">
        <v>89</v>
      </c>
      <c r="B14" s="22" t="e">
        <f>COUNTIF(#REF!,Table5[[#This Row],[Instructor]])</f>
        <v>#REF!</v>
      </c>
      <c r="C14" s="22" t="e">
        <f>COUNTIF(#REF!,Table5[[#This Row],[Instructor]])</f>
        <v>#REF!</v>
      </c>
      <c r="D14" s="22" t="e">
        <f t="shared" si="1"/>
        <v>#REF!</v>
      </c>
      <c r="E14" s="34" t="e">
        <f t="shared" si="0"/>
        <v>#REF!</v>
      </c>
    </row>
    <row r="15" spans="1:5">
      <c r="A15" t="s">
        <v>90</v>
      </c>
      <c r="B15" s="22" t="e">
        <f>COUNTIF(#REF!,Table5[[#This Row],[Instructor]])</f>
        <v>#REF!</v>
      </c>
      <c r="C15" s="22" t="e">
        <f>COUNTIF(#REF!,Table5[[#This Row],[Instructor]])</f>
        <v>#REF!</v>
      </c>
      <c r="D15" s="22" t="e">
        <f t="shared" si="1"/>
        <v>#REF!</v>
      </c>
      <c r="E15" s="34" t="e">
        <f t="shared" si="0"/>
        <v>#REF!</v>
      </c>
    </row>
    <row r="16" spans="1:5">
      <c r="A16" t="s">
        <v>91</v>
      </c>
      <c r="B16" s="22" t="e">
        <f>COUNTIF(#REF!,Table5[[#This Row],[Instructor]])</f>
        <v>#REF!</v>
      </c>
      <c r="C16" s="22" t="e">
        <f>COUNTIF(#REF!,Table5[[#This Row],[Instructor]])</f>
        <v>#REF!</v>
      </c>
      <c r="D16" s="22" t="e">
        <f t="shared" si="1"/>
        <v>#REF!</v>
      </c>
      <c r="E16" s="34" t="e">
        <f t="shared" si="0"/>
        <v>#REF!</v>
      </c>
    </row>
    <row r="17" spans="1:5">
      <c r="A17" t="s">
        <v>92</v>
      </c>
      <c r="B17" s="22" t="e">
        <f>COUNTIF(#REF!,Table5[[#This Row],[Instructor]])</f>
        <v>#REF!</v>
      </c>
      <c r="C17" s="22" t="e">
        <f>COUNTIF(#REF!,Table5[[#This Row],[Instructor]])</f>
        <v>#REF!</v>
      </c>
      <c r="D17" s="22" t="e">
        <f t="shared" si="1"/>
        <v>#REF!</v>
      </c>
      <c r="E17" s="34" t="e">
        <f t="shared" si="0"/>
        <v>#REF!</v>
      </c>
    </row>
    <row r="18" spans="1:5">
      <c r="A18" t="s">
        <v>93</v>
      </c>
      <c r="B18" s="22" t="e">
        <f>COUNTIF(#REF!,Table5[[#This Row],[Instructor]])</f>
        <v>#REF!</v>
      </c>
      <c r="C18" s="22" t="e">
        <f>COUNTIF(#REF!,Table5[[#This Row],[Instructor]])</f>
        <v>#REF!</v>
      </c>
      <c r="D18" s="22" t="e">
        <f t="shared" si="1"/>
        <v>#REF!</v>
      </c>
      <c r="E18" s="34" t="e">
        <f t="shared" si="0"/>
        <v>#REF!</v>
      </c>
    </row>
    <row r="19" spans="1:5">
      <c r="A19" t="s">
        <v>95</v>
      </c>
      <c r="B19" s="22" t="e">
        <f>COUNTIF(#REF!,Table5[[#This Row],[Instructor]])</f>
        <v>#REF!</v>
      </c>
      <c r="C19" s="22" t="e">
        <f>COUNTIF(#REF!,Table5[[#This Row],[Instructor]])</f>
        <v>#REF!</v>
      </c>
      <c r="D19" s="22">
        <v>3</v>
      </c>
      <c r="E19" s="34">
        <f t="shared" si="0"/>
        <v>5.7692307692307696E-2</v>
      </c>
    </row>
    <row r="20" spans="1:5">
      <c r="A20" t="s">
        <v>96</v>
      </c>
      <c r="B20" s="22" t="e">
        <f>COUNTIF(#REF!,Table5[[#This Row],[Instructor]])</f>
        <v>#REF!</v>
      </c>
      <c r="C20" s="22" t="e">
        <f>COUNTIF(#REF!,Table5[[#This Row],[Instructor]])</f>
        <v>#REF!</v>
      </c>
      <c r="D20" s="22" t="e">
        <f>SUM(B20 + C20)</f>
        <v>#REF!</v>
      </c>
      <c r="E20" s="34" t="e">
        <f t="shared" si="0"/>
        <v>#REF!</v>
      </c>
    </row>
  </sheetData>
  <sheetProtection selectLockedCells="1" selectUnlockedCells="1"/>
  <pageMargins left="0.7" right="0.7" top="0.75" bottom="0.75" header="0.3" footer="0.3"/>
  <pageSetup orientation="landscape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13"/>
  <dimension ref="A1:B71"/>
  <sheetViews>
    <sheetView workbookViewId="0">
      <selection activeCell="G13" sqref="G13"/>
    </sheetView>
  </sheetViews>
  <sheetFormatPr defaultColWidth="8.7109375" defaultRowHeight="15"/>
  <cols>
    <col min="1" max="1" width="30.7109375" bestFit="1" customWidth="1"/>
    <col min="2" max="2" width="16.42578125" bestFit="1" customWidth="1"/>
  </cols>
  <sheetData>
    <row r="1" spans="1:2">
      <c r="A1" s="6" t="s">
        <v>97</v>
      </c>
      <c r="B1" t="s">
        <v>98</v>
      </c>
    </row>
    <row r="3" spans="1:2">
      <c r="A3" s="6" t="s">
        <v>0</v>
      </c>
      <c r="B3" t="s">
        <v>99</v>
      </c>
    </row>
    <row r="4" spans="1:2">
      <c r="A4" s="4" t="s">
        <v>100</v>
      </c>
      <c r="B4">
        <v>2</v>
      </c>
    </row>
    <row r="5" spans="1:2">
      <c r="A5" s="4" t="s">
        <v>101</v>
      </c>
      <c r="B5">
        <v>3</v>
      </c>
    </row>
    <row r="6" spans="1:2">
      <c r="A6" s="4" t="s">
        <v>102</v>
      </c>
      <c r="B6">
        <v>3</v>
      </c>
    </row>
    <row r="7" spans="1:2">
      <c r="A7" s="4" t="s">
        <v>103</v>
      </c>
      <c r="B7">
        <v>5</v>
      </c>
    </row>
    <row r="8" spans="1:2">
      <c r="A8" s="4" t="s">
        <v>104</v>
      </c>
      <c r="B8">
        <v>12</v>
      </c>
    </row>
    <row r="9" spans="1:2">
      <c r="A9" s="4" t="s">
        <v>105</v>
      </c>
    </row>
    <row r="10" spans="1:2">
      <c r="A10" s="4" t="s">
        <v>106</v>
      </c>
      <c r="B10">
        <v>1</v>
      </c>
    </row>
    <row r="11" spans="1:2">
      <c r="A11" s="4" t="s">
        <v>107</v>
      </c>
      <c r="B11">
        <v>2</v>
      </c>
    </row>
    <row r="12" spans="1:2">
      <c r="A12" s="4" t="s">
        <v>108</v>
      </c>
      <c r="B12">
        <v>4</v>
      </c>
    </row>
    <row r="13" spans="1:2">
      <c r="A13" s="4" t="s">
        <v>109</v>
      </c>
      <c r="B13">
        <v>1</v>
      </c>
    </row>
    <row r="14" spans="1:2">
      <c r="A14" s="4" t="s">
        <v>110</v>
      </c>
      <c r="B14">
        <v>4</v>
      </c>
    </row>
    <row r="15" spans="1:2">
      <c r="A15" s="4" t="s">
        <v>111</v>
      </c>
      <c r="B15">
        <v>2</v>
      </c>
    </row>
    <row r="16" spans="1:2">
      <c r="A16" s="4" t="s">
        <v>112</v>
      </c>
      <c r="B16">
        <v>3</v>
      </c>
    </row>
    <row r="17" spans="1:2">
      <c r="A17" s="4" t="s">
        <v>113</v>
      </c>
      <c r="B17">
        <v>2</v>
      </c>
    </row>
    <row r="18" spans="1:2">
      <c r="A18" s="4" t="s">
        <v>114</v>
      </c>
      <c r="B18">
        <v>2</v>
      </c>
    </row>
    <row r="19" spans="1:2">
      <c r="A19" s="4" t="s">
        <v>115</v>
      </c>
      <c r="B19">
        <v>4</v>
      </c>
    </row>
    <row r="20" spans="1:2">
      <c r="A20" s="4" t="s">
        <v>116</v>
      </c>
      <c r="B20">
        <v>150</v>
      </c>
    </row>
    <row r="21" spans="1:2">
      <c r="A21" s="4" t="s">
        <v>117</v>
      </c>
      <c r="B21">
        <v>5</v>
      </c>
    </row>
    <row r="22" spans="1:2">
      <c r="A22" s="4" t="s">
        <v>118</v>
      </c>
      <c r="B22">
        <v>3</v>
      </c>
    </row>
    <row r="23" spans="1:2">
      <c r="A23" s="4" t="s">
        <v>119</v>
      </c>
      <c r="B23">
        <v>7</v>
      </c>
    </row>
    <row r="24" spans="1:2">
      <c r="A24" s="4" t="s">
        <v>120</v>
      </c>
      <c r="B24">
        <v>6</v>
      </c>
    </row>
    <row r="25" spans="1:2">
      <c r="A25" s="4" t="s">
        <v>121</v>
      </c>
      <c r="B25">
        <v>3</v>
      </c>
    </row>
    <row r="26" spans="1:2">
      <c r="A26" s="4" t="s">
        <v>122</v>
      </c>
      <c r="B26">
        <v>2</v>
      </c>
    </row>
    <row r="27" spans="1:2">
      <c r="A27" s="4" t="s">
        <v>123</v>
      </c>
      <c r="B27">
        <v>2</v>
      </c>
    </row>
    <row r="28" spans="1:2">
      <c r="A28" s="4" t="s">
        <v>124</v>
      </c>
      <c r="B28">
        <v>5</v>
      </c>
    </row>
    <row r="29" spans="1:2">
      <c r="A29" s="4" t="s">
        <v>125</v>
      </c>
      <c r="B29">
        <v>1</v>
      </c>
    </row>
    <row r="30" spans="1:2">
      <c r="A30" s="4" t="s">
        <v>126</v>
      </c>
      <c r="B30">
        <v>2</v>
      </c>
    </row>
    <row r="31" spans="1:2">
      <c r="A31" s="4" t="s">
        <v>127</v>
      </c>
      <c r="B31">
        <v>1</v>
      </c>
    </row>
    <row r="32" spans="1:2">
      <c r="A32" s="4" t="s">
        <v>128</v>
      </c>
      <c r="B32">
        <v>1</v>
      </c>
    </row>
    <row r="33" spans="1:2">
      <c r="A33" s="4" t="s">
        <v>129</v>
      </c>
      <c r="B33">
        <v>1</v>
      </c>
    </row>
    <row r="34" spans="1:2">
      <c r="A34" s="4" t="s">
        <v>130</v>
      </c>
      <c r="B34">
        <v>1</v>
      </c>
    </row>
    <row r="35" spans="1:2">
      <c r="A35" s="4" t="s">
        <v>131</v>
      </c>
      <c r="B35">
        <v>4</v>
      </c>
    </row>
    <row r="36" spans="1:2">
      <c r="A36" s="4" t="s">
        <v>132</v>
      </c>
      <c r="B36">
        <v>1</v>
      </c>
    </row>
    <row r="37" spans="1:2">
      <c r="A37" s="4" t="s">
        <v>133</v>
      </c>
      <c r="B37">
        <v>4</v>
      </c>
    </row>
    <row r="38" spans="1:2">
      <c r="A38" s="4" t="s">
        <v>134</v>
      </c>
      <c r="B38">
        <v>1</v>
      </c>
    </row>
    <row r="39" spans="1:2">
      <c r="A39" s="4" t="s">
        <v>135</v>
      </c>
      <c r="B39">
        <v>5</v>
      </c>
    </row>
    <row r="40" spans="1:2">
      <c r="A40" s="4" t="s">
        <v>136</v>
      </c>
      <c r="B40">
        <v>1</v>
      </c>
    </row>
    <row r="41" spans="1:2">
      <c r="A41" s="4" t="s">
        <v>137</v>
      </c>
      <c r="B41">
        <v>1</v>
      </c>
    </row>
    <row r="42" spans="1:2">
      <c r="A42" s="4" t="s">
        <v>138</v>
      </c>
      <c r="B42">
        <v>1</v>
      </c>
    </row>
    <row r="43" spans="1:2">
      <c r="A43" s="4" t="s">
        <v>139</v>
      </c>
      <c r="B43">
        <v>3</v>
      </c>
    </row>
    <row r="44" spans="1:2">
      <c r="A44" s="4" t="s">
        <v>140</v>
      </c>
      <c r="B44">
        <v>27</v>
      </c>
    </row>
    <row r="45" spans="1:2">
      <c r="A45" s="4" t="s">
        <v>141</v>
      </c>
      <c r="B45">
        <v>5</v>
      </c>
    </row>
    <row r="46" spans="1:2">
      <c r="A46" s="4" t="s">
        <v>142</v>
      </c>
      <c r="B46">
        <v>3</v>
      </c>
    </row>
    <row r="47" spans="1:2">
      <c r="A47" s="4" t="s">
        <v>143</v>
      </c>
      <c r="B47">
        <v>3</v>
      </c>
    </row>
    <row r="48" spans="1:2">
      <c r="A48" s="4" t="s">
        <v>144</v>
      </c>
      <c r="B48">
        <v>3</v>
      </c>
    </row>
    <row r="49" spans="1:2">
      <c r="A49" s="4" t="s">
        <v>145</v>
      </c>
      <c r="B49">
        <v>1</v>
      </c>
    </row>
    <row r="50" spans="1:2">
      <c r="A50" s="4" t="s">
        <v>146</v>
      </c>
      <c r="B50">
        <v>5</v>
      </c>
    </row>
    <row r="51" spans="1:2">
      <c r="A51" s="4" t="s">
        <v>147</v>
      </c>
      <c r="B51">
        <v>14</v>
      </c>
    </row>
    <row r="52" spans="1:2">
      <c r="A52" s="4" t="s">
        <v>148</v>
      </c>
      <c r="B52">
        <v>3</v>
      </c>
    </row>
    <row r="53" spans="1:2">
      <c r="A53" s="4" t="s">
        <v>149</v>
      </c>
      <c r="B53">
        <v>1</v>
      </c>
    </row>
    <row r="54" spans="1:2">
      <c r="A54" s="4" t="s">
        <v>150</v>
      </c>
      <c r="B54">
        <v>2</v>
      </c>
    </row>
    <row r="55" spans="1:2">
      <c r="A55" s="4" t="s">
        <v>151</v>
      </c>
      <c r="B55">
        <v>7</v>
      </c>
    </row>
    <row r="56" spans="1:2">
      <c r="A56" s="4" t="s">
        <v>152</v>
      </c>
      <c r="B56">
        <v>1</v>
      </c>
    </row>
    <row r="57" spans="1:2">
      <c r="A57" s="4" t="s">
        <v>153</v>
      </c>
      <c r="B57">
        <v>7</v>
      </c>
    </row>
    <row r="58" spans="1:2">
      <c r="A58" s="4" t="s">
        <v>154</v>
      </c>
      <c r="B58">
        <v>1</v>
      </c>
    </row>
    <row r="59" spans="1:2">
      <c r="A59" s="4" t="s">
        <v>155</v>
      </c>
      <c r="B59">
        <v>16</v>
      </c>
    </row>
    <row r="60" spans="1:2">
      <c r="A60" s="4" t="s">
        <v>156</v>
      </c>
      <c r="B60">
        <v>3</v>
      </c>
    </row>
    <row r="61" spans="1:2">
      <c r="A61" s="4" t="s">
        <v>157</v>
      </c>
      <c r="B61">
        <v>4</v>
      </c>
    </row>
    <row r="62" spans="1:2">
      <c r="A62" s="4" t="s">
        <v>158</v>
      </c>
      <c r="B62">
        <v>5</v>
      </c>
    </row>
    <row r="63" spans="1:2">
      <c r="A63" s="4" t="s">
        <v>159</v>
      </c>
      <c r="B63">
        <v>2</v>
      </c>
    </row>
    <row r="64" spans="1:2">
      <c r="A64" s="4" t="s">
        <v>160</v>
      </c>
      <c r="B64">
        <v>7</v>
      </c>
    </row>
    <row r="65" spans="1:2">
      <c r="A65" s="4" t="s">
        <v>161</v>
      </c>
      <c r="B65">
        <v>1</v>
      </c>
    </row>
    <row r="66" spans="1:2">
      <c r="A66" s="4" t="s">
        <v>162</v>
      </c>
      <c r="B66">
        <v>1</v>
      </c>
    </row>
    <row r="67" spans="1:2">
      <c r="A67" s="4" t="s">
        <v>163</v>
      </c>
      <c r="B67">
        <v>1</v>
      </c>
    </row>
    <row r="68" spans="1:2">
      <c r="A68" s="4" t="s">
        <v>164</v>
      </c>
      <c r="B68">
        <v>1</v>
      </c>
    </row>
    <row r="69" spans="1:2">
      <c r="A69" s="4" t="s">
        <v>165</v>
      </c>
      <c r="B69">
        <v>4</v>
      </c>
    </row>
    <row r="70" spans="1:2">
      <c r="A70" s="4" t="s">
        <v>166</v>
      </c>
      <c r="B70">
        <v>18</v>
      </c>
    </row>
    <row r="71" spans="1:2">
      <c r="A71" s="4" t="s">
        <v>41</v>
      </c>
      <c r="B71">
        <v>407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3">
    <tabColor rgb="FFFF0000"/>
  </sheetPr>
  <dimension ref="A1:L93"/>
  <sheetViews>
    <sheetView topLeftCell="A8" zoomScale="70" zoomScaleNormal="70" workbookViewId="0">
      <selection activeCell="H10" sqref="H10"/>
    </sheetView>
  </sheetViews>
  <sheetFormatPr defaultColWidth="8.7109375" defaultRowHeight="15"/>
  <cols>
    <col min="1" max="1" width="70.28515625" bestFit="1" customWidth="1"/>
    <col min="2" max="2" width="11.28515625" bestFit="1" customWidth="1"/>
    <col min="3" max="3" width="8.7109375" style="1"/>
    <col min="6" max="6" width="14.42578125" bestFit="1" customWidth="1"/>
    <col min="7" max="8" width="12" bestFit="1" customWidth="1"/>
    <col min="9" max="9" width="13.28515625" bestFit="1" customWidth="1"/>
    <col min="10" max="10" width="24.7109375" bestFit="1" customWidth="1"/>
    <col min="11" max="11" width="24" bestFit="1" customWidth="1"/>
    <col min="12" max="12" width="18.28515625" bestFit="1" customWidth="1"/>
  </cols>
  <sheetData>
    <row r="1" spans="1:12">
      <c r="A1" s="7" t="s">
        <v>97</v>
      </c>
      <c r="B1" s="7" t="s">
        <v>167</v>
      </c>
      <c r="C1" s="8" t="s">
        <v>168</v>
      </c>
      <c r="D1" t="s">
        <v>169</v>
      </c>
      <c r="E1" t="s">
        <v>170</v>
      </c>
      <c r="F1" s="7" t="s">
        <v>171</v>
      </c>
      <c r="G1" s="7" t="s">
        <v>172</v>
      </c>
      <c r="H1" s="7" t="s">
        <v>173</v>
      </c>
      <c r="I1" s="7" t="s">
        <v>174</v>
      </c>
      <c r="J1" s="7" t="s">
        <v>175</v>
      </c>
      <c r="K1" s="7" t="s">
        <v>176</v>
      </c>
      <c r="L1" t="s">
        <v>177</v>
      </c>
    </row>
    <row r="2" spans="1:12">
      <c r="A2" t="s">
        <v>178</v>
      </c>
      <c r="B2" t="s">
        <v>179</v>
      </c>
      <c r="C2" s="1" t="s">
        <v>180</v>
      </c>
      <c r="D2">
        <v>20</v>
      </c>
      <c r="E2">
        <v>2</v>
      </c>
      <c r="F2" t="s">
        <v>181</v>
      </c>
      <c r="I2" t="s">
        <v>116</v>
      </c>
      <c r="J2" t="s">
        <v>182</v>
      </c>
      <c r="L2" t="s">
        <v>183</v>
      </c>
    </row>
    <row r="3" spans="1:12">
      <c r="A3" t="s">
        <v>184</v>
      </c>
      <c r="B3" t="s">
        <v>185</v>
      </c>
      <c r="C3" s="1" t="s">
        <v>186</v>
      </c>
      <c r="D3">
        <v>45</v>
      </c>
      <c r="E3">
        <v>5</v>
      </c>
      <c r="F3" t="s">
        <v>187</v>
      </c>
      <c r="I3" t="s">
        <v>188</v>
      </c>
      <c r="J3" t="s">
        <v>101</v>
      </c>
      <c r="L3" t="s">
        <v>189</v>
      </c>
    </row>
    <row r="4" spans="1:12">
      <c r="A4" t="s">
        <v>6</v>
      </c>
      <c r="B4" t="s">
        <v>190</v>
      </c>
      <c r="C4" s="1">
        <v>3878</v>
      </c>
      <c r="D4">
        <v>25</v>
      </c>
      <c r="E4">
        <v>3</v>
      </c>
      <c r="F4" t="s">
        <v>96</v>
      </c>
      <c r="J4" t="s">
        <v>102</v>
      </c>
      <c r="L4" t="s">
        <v>191</v>
      </c>
    </row>
    <row r="5" spans="1:12">
      <c r="A5" t="s">
        <v>7</v>
      </c>
      <c r="B5" t="s">
        <v>192</v>
      </c>
      <c r="C5" s="1">
        <v>3879</v>
      </c>
      <c r="D5">
        <v>30</v>
      </c>
      <c r="E5">
        <v>1</v>
      </c>
      <c r="F5" t="s">
        <v>89</v>
      </c>
      <c r="J5" t="s">
        <v>193</v>
      </c>
      <c r="L5" t="s">
        <v>194</v>
      </c>
    </row>
    <row r="6" spans="1:12">
      <c r="A6" t="s">
        <v>8</v>
      </c>
      <c r="B6" t="s">
        <v>195</v>
      </c>
      <c r="C6" s="1">
        <v>3882</v>
      </c>
      <c r="D6">
        <v>25</v>
      </c>
      <c r="E6">
        <v>2</v>
      </c>
      <c r="F6" t="s">
        <v>78</v>
      </c>
      <c r="J6" t="s">
        <v>103</v>
      </c>
      <c r="L6" t="s">
        <v>196</v>
      </c>
    </row>
    <row r="7" spans="1:12">
      <c r="A7" t="s">
        <v>9</v>
      </c>
      <c r="B7" t="s">
        <v>197</v>
      </c>
      <c r="C7" s="1">
        <v>3888</v>
      </c>
      <c r="D7">
        <v>30</v>
      </c>
      <c r="E7">
        <v>1</v>
      </c>
      <c r="F7" t="s">
        <v>198</v>
      </c>
      <c r="J7" t="s">
        <v>199</v>
      </c>
      <c r="L7" t="s">
        <v>200</v>
      </c>
    </row>
    <row r="8" spans="1:12">
      <c r="A8" t="s">
        <v>10</v>
      </c>
      <c r="B8" t="s">
        <v>201</v>
      </c>
      <c r="C8" s="1" t="s">
        <v>202</v>
      </c>
      <c r="D8">
        <v>25</v>
      </c>
      <c r="E8">
        <v>5</v>
      </c>
      <c r="F8" t="s">
        <v>203</v>
      </c>
      <c r="J8" t="s">
        <v>104</v>
      </c>
      <c r="L8" t="s">
        <v>204</v>
      </c>
    </row>
    <row r="9" spans="1:12">
      <c r="A9" t="s">
        <v>11</v>
      </c>
      <c r="B9" t="s">
        <v>205</v>
      </c>
      <c r="C9" s="1" t="s">
        <v>206</v>
      </c>
      <c r="D9">
        <v>30</v>
      </c>
      <c r="E9">
        <v>1</v>
      </c>
      <c r="F9" t="s">
        <v>89</v>
      </c>
      <c r="J9" t="s">
        <v>207</v>
      </c>
      <c r="L9" t="s">
        <v>208</v>
      </c>
    </row>
    <row r="10" spans="1:12">
      <c r="A10" t="s">
        <v>209</v>
      </c>
      <c r="B10" t="s">
        <v>210</v>
      </c>
      <c r="C10" s="1" t="s">
        <v>211</v>
      </c>
      <c r="D10">
        <v>30</v>
      </c>
      <c r="E10">
        <v>3</v>
      </c>
      <c r="F10" t="s">
        <v>212</v>
      </c>
      <c r="J10" t="s">
        <v>213</v>
      </c>
      <c r="L10" t="s">
        <v>214</v>
      </c>
    </row>
    <row r="11" spans="1:12">
      <c r="A11" t="s">
        <v>215</v>
      </c>
      <c r="B11" t="s">
        <v>216</v>
      </c>
      <c r="C11" s="1" t="s">
        <v>217</v>
      </c>
      <c r="D11">
        <v>45</v>
      </c>
      <c r="E11">
        <v>5</v>
      </c>
      <c r="F11" t="s">
        <v>79</v>
      </c>
      <c r="J11" t="s">
        <v>218</v>
      </c>
    </row>
    <row r="12" spans="1:12">
      <c r="A12" t="s">
        <v>14</v>
      </c>
      <c r="B12" t="s">
        <v>219</v>
      </c>
      <c r="C12" s="1" t="s">
        <v>220</v>
      </c>
      <c r="D12">
        <v>25</v>
      </c>
      <c r="E12">
        <v>5</v>
      </c>
      <c r="F12" t="s">
        <v>83</v>
      </c>
      <c r="J12" t="s">
        <v>221</v>
      </c>
    </row>
    <row r="13" spans="1:12">
      <c r="A13" t="s">
        <v>15</v>
      </c>
      <c r="B13" t="s">
        <v>222</v>
      </c>
      <c r="C13" s="1" t="s">
        <v>223</v>
      </c>
      <c r="D13">
        <v>35</v>
      </c>
      <c r="E13">
        <v>5</v>
      </c>
      <c r="F13" t="s">
        <v>224</v>
      </c>
      <c r="J13" t="s">
        <v>225</v>
      </c>
    </row>
    <row r="14" spans="1:12">
      <c r="A14" t="s">
        <v>70</v>
      </c>
      <c r="B14" t="s">
        <v>226</v>
      </c>
      <c r="C14" s="1" t="s">
        <v>227</v>
      </c>
      <c r="D14">
        <v>30</v>
      </c>
      <c r="E14">
        <v>4</v>
      </c>
      <c r="F14" t="s">
        <v>228</v>
      </c>
      <c r="J14" t="s">
        <v>107</v>
      </c>
    </row>
    <row r="15" spans="1:12">
      <c r="A15" t="s">
        <v>16</v>
      </c>
      <c r="B15" t="s">
        <v>229</v>
      </c>
      <c r="C15" s="1" t="s">
        <v>230</v>
      </c>
      <c r="D15">
        <v>25</v>
      </c>
      <c r="E15">
        <v>2</v>
      </c>
      <c r="F15" t="s">
        <v>231</v>
      </c>
      <c r="J15" t="s">
        <v>108</v>
      </c>
    </row>
    <row r="16" spans="1:12">
      <c r="A16" t="s">
        <v>17</v>
      </c>
      <c r="B16" t="s">
        <v>232</v>
      </c>
      <c r="C16" s="1">
        <v>3682</v>
      </c>
      <c r="D16">
        <v>40</v>
      </c>
      <c r="E16">
        <v>5</v>
      </c>
      <c r="F16" t="s">
        <v>90</v>
      </c>
      <c r="J16" t="s">
        <v>109</v>
      </c>
    </row>
    <row r="17" spans="1:10">
      <c r="A17" t="s">
        <v>18</v>
      </c>
      <c r="B17" t="s">
        <v>233</v>
      </c>
      <c r="C17" s="1">
        <v>3683</v>
      </c>
      <c r="D17">
        <v>40</v>
      </c>
      <c r="E17">
        <v>5</v>
      </c>
      <c r="F17" t="s">
        <v>81</v>
      </c>
      <c r="J17" t="s">
        <v>110</v>
      </c>
    </row>
    <row r="18" spans="1:10">
      <c r="A18" t="s">
        <v>19</v>
      </c>
      <c r="B18" t="s">
        <v>234</v>
      </c>
      <c r="C18" s="1" t="s">
        <v>235</v>
      </c>
      <c r="D18">
        <v>45</v>
      </c>
      <c r="E18">
        <v>3</v>
      </c>
      <c r="F18" t="s">
        <v>86</v>
      </c>
      <c r="J18" t="s">
        <v>111</v>
      </c>
    </row>
    <row r="19" spans="1:10">
      <c r="A19" t="s">
        <v>236</v>
      </c>
      <c r="B19" t="s">
        <v>237</v>
      </c>
      <c r="C19" s="1" t="s">
        <v>238</v>
      </c>
      <c r="D19">
        <v>25</v>
      </c>
      <c r="E19">
        <v>5</v>
      </c>
      <c r="F19" t="s">
        <v>84</v>
      </c>
      <c r="J19" t="s">
        <v>113</v>
      </c>
    </row>
    <row r="20" spans="1:10">
      <c r="A20" t="s">
        <v>239</v>
      </c>
      <c r="B20" t="s">
        <v>237</v>
      </c>
      <c r="C20" s="1" t="s">
        <v>238</v>
      </c>
      <c r="D20">
        <v>25</v>
      </c>
      <c r="E20">
        <v>5</v>
      </c>
      <c r="F20" t="s">
        <v>95</v>
      </c>
      <c r="J20" t="s">
        <v>115</v>
      </c>
    </row>
    <row r="21" spans="1:10">
      <c r="A21" t="s">
        <v>20</v>
      </c>
      <c r="B21" t="s">
        <v>240</v>
      </c>
      <c r="C21" s="1" t="s">
        <v>241</v>
      </c>
      <c r="D21">
        <v>30</v>
      </c>
      <c r="E21">
        <v>4</v>
      </c>
      <c r="J21" t="s">
        <v>116</v>
      </c>
    </row>
    <row r="22" spans="1:10">
      <c r="A22" t="s">
        <v>242</v>
      </c>
      <c r="B22" t="s">
        <v>243</v>
      </c>
      <c r="C22" s="1" t="s">
        <v>244</v>
      </c>
      <c r="D22">
        <v>45</v>
      </c>
      <c r="E22">
        <v>5</v>
      </c>
      <c r="F22" t="s">
        <v>92</v>
      </c>
      <c r="J22" t="s">
        <v>117</v>
      </c>
    </row>
    <row r="23" spans="1:10">
      <c r="A23" t="s">
        <v>245</v>
      </c>
      <c r="B23" t="s">
        <v>246</v>
      </c>
      <c r="C23" s="1" t="s">
        <v>247</v>
      </c>
      <c r="D23">
        <v>30</v>
      </c>
      <c r="E23">
        <v>3</v>
      </c>
      <c r="F23" t="s">
        <v>85</v>
      </c>
      <c r="J23" t="s">
        <v>118</v>
      </c>
    </row>
    <row r="24" spans="1:10">
      <c r="A24" t="s">
        <v>248</v>
      </c>
      <c r="B24" t="s">
        <v>249</v>
      </c>
      <c r="C24" s="1" t="s">
        <v>250</v>
      </c>
      <c r="D24">
        <v>45</v>
      </c>
      <c r="E24">
        <v>5</v>
      </c>
      <c r="F24" t="s">
        <v>80</v>
      </c>
      <c r="J24" t="s">
        <v>251</v>
      </c>
    </row>
    <row r="25" spans="1:10">
      <c r="A25" t="s">
        <v>23</v>
      </c>
      <c r="B25" t="s">
        <v>252</v>
      </c>
      <c r="C25" s="71" t="s">
        <v>253</v>
      </c>
      <c r="D25">
        <v>25</v>
      </c>
      <c r="E25">
        <v>3</v>
      </c>
      <c r="F25" t="s">
        <v>88</v>
      </c>
      <c r="J25" t="s">
        <v>119</v>
      </c>
    </row>
    <row r="26" spans="1:10">
      <c r="A26" t="s">
        <v>24</v>
      </c>
      <c r="B26" t="s">
        <v>254</v>
      </c>
      <c r="C26" s="1" t="s">
        <v>255</v>
      </c>
      <c r="D26">
        <v>30</v>
      </c>
      <c r="E26">
        <v>1</v>
      </c>
      <c r="F26" t="s">
        <v>94</v>
      </c>
      <c r="J26" t="s">
        <v>120</v>
      </c>
    </row>
    <row r="27" spans="1:10">
      <c r="A27" t="s">
        <v>25</v>
      </c>
      <c r="B27" t="s">
        <v>256</v>
      </c>
      <c r="C27" s="1" t="s">
        <v>257</v>
      </c>
      <c r="D27">
        <v>30</v>
      </c>
      <c r="E27">
        <v>2</v>
      </c>
      <c r="J27" t="s">
        <v>258</v>
      </c>
    </row>
    <row r="28" spans="1:10">
      <c r="A28" t="s">
        <v>26</v>
      </c>
      <c r="B28" t="s">
        <v>259</v>
      </c>
      <c r="C28" s="1" t="s">
        <v>260</v>
      </c>
      <c r="D28">
        <v>30</v>
      </c>
      <c r="E28">
        <v>1</v>
      </c>
      <c r="F28" t="s">
        <v>261</v>
      </c>
      <c r="J28" t="s">
        <v>262</v>
      </c>
    </row>
    <row r="29" spans="1:10">
      <c r="A29" t="s">
        <v>27</v>
      </c>
      <c r="B29" t="s">
        <v>263</v>
      </c>
      <c r="C29" s="1" t="s">
        <v>264</v>
      </c>
      <c r="D29">
        <v>30</v>
      </c>
      <c r="E29">
        <v>1</v>
      </c>
      <c r="J29" t="s">
        <v>121</v>
      </c>
    </row>
    <row r="30" spans="1:10">
      <c r="A30" t="s">
        <v>28</v>
      </c>
      <c r="B30" t="s">
        <v>265</v>
      </c>
      <c r="C30" s="1">
        <v>5891</v>
      </c>
      <c r="D30">
        <v>25</v>
      </c>
      <c r="E30">
        <v>3</v>
      </c>
      <c r="J30" t="s">
        <v>122</v>
      </c>
    </row>
    <row r="31" spans="1:10">
      <c r="A31" t="s">
        <v>266</v>
      </c>
      <c r="B31" t="s">
        <v>267</v>
      </c>
      <c r="C31" s="1" t="s">
        <v>268</v>
      </c>
      <c r="D31">
        <v>40</v>
      </c>
      <c r="E31">
        <v>3</v>
      </c>
      <c r="J31" t="s">
        <v>269</v>
      </c>
    </row>
    <row r="32" spans="1:10">
      <c r="A32" t="s">
        <v>270</v>
      </c>
      <c r="B32" t="s">
        <v>271</v>
      </c>
      <c r="C32" s="1" t="s">
        <v>272</v>
      </c>
      <c r="D32">
        <v>30</v>
      </c>
      <c r="E32">
        <v>4</v>
      </c>
      <c r="J32" t="s">
        <v>124</v>
      </c>
    </row>
    <row r="33" spans="1:10">
      <c r="A33" t="s">
        <v>273</v>
      </c>
      <c r="B33" t="s">
        <v>274</v>
      </c>
      <c r="C33" s="1" t="s">
        <v>275</v>
      </c>
      <c r="D33">
        <v>30</v>
      </c>
      <c r="E33">
        <v>4</v>
      </c>
      <c r="J33" t="s">
        <v>126</v>
      </c>
    </row>
    <row r="34" spans="1:10">
      <c r="A34" t="s">
        <v>276</v>
      </c>
      <c r="B34" t="s">
        <v>277</v>
      </c>
      <c r="C34" s="1" t="s">
        <v>278</v>
      </c>
      <c r="D34">
        <v>45</v>
      </c>
      <c r="E34">
        <v>4</v>
      </c>
      <c r="J34" t="s">
        <v>279</v>
      </c>
    </row>
    <row r="35" spans="1:10">
      <c r="A35" t="s">
        <v>280</v>
      </c>
      <c r="B35" t="s">
        <v>281</v>
      </c>
      <c r="C35" s="1" t="s">
        <v>282</v>
      </c>
      <c r="D35">
        <v>30</v>
      </c>
      <c r="E35">
        <v>4</v>
      </c>
      <c r="J35" t="s">
        <v>283</v>
      </c>
    </row>
    <row r="36" spans="1:10">
      <c r="A36" t="s">
        <v>284</v>
      </c>
      <c r="B36" t="s">
        <v>285</v>
      </c>
      <c r="C36" s="1" t="s">
        <v>286</v>
      </c>
      <c r="D36">
        <v>30</v>
      </c>
      <c r="E36">
        <v>4</v>
      </c>
      <c r="J36" t="s">
        <v>131</v>
      </c>
    </row>
    <row r="37" spans="1:10">
      <c r="A37" t="s">
        <v>287</v>
      </c>
      <c r="B37" t="s">
        <v>288</v>
      </c>
      <c r="C37" s="1">
        <v>1228</v>
      </c>
      <c r="D37">
        <v>45</v>
      </c>
      <c r="E37">
        <v>5</v>
      </c>
      <c r="J37" t="s">
        <v>289</v>
      </c>
    </row>
    <row r="38" spans="1:10">
      <c r="A38" t="s">
        <v>290</v>
      </c>
      <c r="B38" t="s">
        <v>291</v>
      </c>
      <c r="C38" s="1" t="s">
        <v>292</v>
      </c>
      <c r="D38">
        <v>30</v>
      </c>
      <c r="E38">
        <v>0</v>
      </c>
      <c r="J38" t="s">
        <v>293</v>
      </c>
    </row>
    <row r="39" spans="1:10">
      <c r="A39" t="s">
        <v>34</v>
      </c>
      <c r="B39" t="s">
        <v>294</v>
      </c>
      <c r="C39" s="1">
        <v>3555</v>
      </c>
      <c r="D39">
        <v>30</v>
      </c>
      <c r="E39">
        <v>4</v>
      </c>
      <c r="J39" t="s">
        <v>295</v>
      </c>
    </row>
    <row r="40" spans="1:10">
      <c r="A40" t="s">
        <v>35</v>
      </c>
      <c r="B40" t="s">
        <v>296</v>
      </c>
      <c r="C40" s="1" t="s">
        <v>297</v>
      </c>
      <c r="D40">
        <v>30</v>
      </c>
      <c r="E40">
        <v>1</v>
      </c>
      <c r="J40" t="s">
        <v>298</v>
      </c>
    </row>
    <row r="41" spans="1:10">
      <c r="A41" t="s">
        <v>299</v>
      </c>
      <c r="B41" t="s">
        <v>300</v>
      </c>
      <c r="C41" s="1" t="s">
        <v>301</v>
      </c>
      <c r="D41">
        <v>30</v>
      </c>
      <c r="E41">
        <v>4</v>
      </c>
      <c r="J41" t="s">
        <v>302</v>
      </c>
    </row>
    <row r="42" spans="1:10">
      <c r="A42" t="s">
        <v>38</v>
      </c>
      <c r="B42" t="s">
        <v>303</v>
      </c>
      <c r="C42" s="1" t="s">
        <v>304</v>
      </c>
      <c r="D42">
        <v>30</v>
      </c>
      <c r="E42">
        <v>4</v>
      </c>
      <c r="J42" t="s">
        <v>133</v>
      </c>
    </row>
    <row r="43" spans="1:10">
      <c r="A43" t="s">
        <v>305</v>
      </c>
      <c r="B43" t="s">
        <v>306</v>
      </c>
      <c r="C43" s="1" t="s">
        <v>307</v>
      </c>
      <c r="D43">
        <v>30</v>
      </c>
      <c r="E43">
        <v>5</v>
      </c>
      <c r="J43" t="s">
        <v>308</v>
      </c>
    </row>
    <row r="44" spans="1:10">
      <c r="A44" t="s">
        <v>309</v>
      </c>
      <c r="B44" t="s">
        <v>310</v>
      </c>
      <c r="C44" s="1" t="s">
        <v>311</v>
      </c>
      <c r="D44">
        <v>30</v>
      </c>
      <c r="E44">
        <v>2</v>
      </c>
      <c r="J44" t="s">
        <v>135</v>
      </c>
    </row>
    <row r="45" spans="1:10">
      <c r="A45" t="s">
        <v>312</v>
      </c>
      <c r="B45" t="s">
        <v>313</v>
      </c>
      <c r="C45" s="1" t="s">
        <v>314</v>
      </c>
      <c r="D45">
        <v>100</v>
      </c>
      <c r="E45">
        <v>5</v>
      </c>
      <c r="J45" t="s">
        <v>315</v>
      </c>
    </row>
    <row r="46" spans="1:10">
      <c r="A46" t="s">
        <v>316</v>
      </c>
      <c r="B46" t="s">
        <v>317</v>
      </c>
      <c r="C46" s="1" t="s">
        <v>317</v>
      </c>
      <c r="D46">
        <v>0</v>
      </c>
      <c r="E46">
        <v>0</v>
      </c>
      <c r="J46" t="s">
        <v>137</v>
      </c>
    </row>
    <row r="47" spans="1:10">
      <c r="A47" t="s">
        <v>318</v>
      </c>
      <c r="B47" t="s">
        <v>319</v>
      </c>
      <c r="C47" s="1" t="s">
        <v>320</v>
      </c>
      <c r="D47">
        <v>30</v>
      </c>
      <c r="E47">
        <v>2</v>
      </c>
      <c r="J47" t="s">
        <v>138</v>
      </c>
    </row>
    <row r="48" spans="1:10">
      <c r="A48" t="s">
        <v>321</v>
      </c>
      <c r="B48" t="s">
        <v>322</v>
      </c>
      <c r="C48" s="1" t="s">
        <v>323</v>
      </c>
      <c r="D48">
        <v>25</v>
      </c>
      <c r="E48">
        <v>2</v>
      </c>
      <c r="J48" t="s">
        <v>139</v>
      </c>
    </row>
    <row r="49" spans="1:10">
      <c r="A49" t="s">
        <v>40</v>
      </c>
      <c r="B49" t="s">
        <v>324</v>
      </c>
      <c r="C49" s="1" t="s">
        <v>325</v>
      </c>
      <c r="D49">
        <v>25</v>
      </c>
      <c r="E49">
        <v>2</v>
      </c>
      <c r="J49" t="s">
        <v>326</v>
      </c>
    </row>
    <row r="50" spans="1:10">
      <c r="A50" t="s">
        <v>327</v>
      </c>
      <c r="B50" t="s">
        <v>328</v>
      </c>
      <c r="C50" s="1" t="s">
        <v>328</v>
      </c>
      <c r="D50">
        <v>0</v>
      </c>
      <c r="E50">
        <v>0</v>
      </c>
      <c r="J50" t="s">
        <v>329</v>
      </c>
    </row>
    <row r="51" spans="1:10">
      <c r="A51" t="s">
        <v>330</v>
      </c>
      <c r="B51" t="s">
        <v>330</v>
      </c>
      <c r="C51" s="1" t="s">
        <v>330</v>
      </c>
      <c r="D51">
        <v>0</v>
      </c>
      <c r="E51">
        <v>0</v>
      </c>
      <c r="J51" t="s">
        <v>140</v>
      </c>
    </row>
    <row r="52" spans="1:10">
      <c r="A52" t="s">
        <v>331</v>
      </c>
      <c r="B52" t="s">
        <v>332</v>
      </c>
      <c r="C52" s="1" t="s">
        <v>332</v>
      </c>
      <c r="D52">
        <v>0</v>
      </c>
      <c r="E52">
        <v>0</v>
      </c>
      <c r="J52" t="s">
        <v>141</v>
      </c>
    </row>
    <row r="53" spans="1:10">
      <c r="A53" s="109" t="s">
        <v>333</v>
      </c>
      <c r="B53" t="s">
        <v>332</v>
      </c>
      <c r="C53" s="1" t="s">
        <v>332</v>
      </c>
      <c r="D53">
        <v>0</v>
      </c>
      <c r="E53">
        <v>0</v>
      </c>
      <c r="J53" t="s">
        <v>334</v>
      </c>
    </row>
    <row r="54" spans="1:10">
      <c r="J54" t="s">
        <v>335</v>
      </c>
    </row>
    <row r="55" spans="1:10">
      <c r="J55" t="s">
        <v>143</v>
      </c>
    </row>
    <row r="56" spans="1:10">
      <c r="J56" t="s">
        <v>336</v>
      </c>
    </row>
    <row r="57" spans="1:10">
      <c r="J57" t="s">
        <v>144</v>
      </c>
    </row>
    <row r="58" spans="1:10">
      <c r="J58" t="s">
        <v>146</v>
      </c>
    </row>
    <row r="59" spans="1:10">
      <c r="J59" t="s">
        <v>147</v>
      </c>
    </row>
    <row r="60" spans="1:10">
      <c r="J60" t="s">
        <v>148</v>
      </c>
    </row>
    <row r="61" spans="1:10">
      <c r="J61" t="s">
        <v>149</v>
      </c>
    </row>
    <row r="62" spans="1:10">
      <c r="J62" t="s">
        <v>337</v>
      </c>
    </row>
    <row r="63" spans="1:10">
      <c r="J63" t="s">
        <v>338</v>
      </c>
    </row>
    <row r="64" spans="1:10">
      <c r="J64" t="s">
        <v>339</v>
      </c>
    </row>
    <row r="65" spans="10:10">
      <c r="J65" t="s">
        <v>150</v>
      </c>
    </row>
    <row r="66" spans="10:10">
      <c r="J66" t="s">
        <v>340</v>
      </c>
    </row>
    <row r="67" spans="10:10">
      <c r="J67" t="s">
        <v>151</v>
      </c>
    </row>
    <row r="68" spans="10:10">
      <c r="J68" t="s">
        <v>341</v>
      </c>
    </row>
    <row r="69" spans="10:10">
      <c r="J69" t="s">
        <v>342</v>
      </c>
    </row>
    <row r="70" spans="10:10">
      <c r="J70" t="s">
        <v>343</v>
      </c>
    </row>
    <row r="71" spans="10:10">
      <c r="J71" t="s">
        <v>344</v>
      </c>
    </row>
    <row r="72" spans="10:10">
      <c r="J72" t="s">
        <v>153</v>
      </c>
    </row>
    <row r="73" spans="10:10">
      <c r="J73" t="s">
        <v>345</v>
      </c>
    </row>
    <row r="74" spans="10:10">
      <c r="J74" t="s">
        <v>154</v>
      </c>
    </row>
    <row r="75" spans="10:10">
      <c r="J75" t="s">
        <v>155</v>
      </c>
    </row>
    <row r="76" spans="10:10">
      <c r="J76" t="s">
        <v>346</v>
      </c>
    </row>
    <row r="77" spans="10:10">
      <c r="J77" t="s">
        <v>347</v>
      </c>
    </row>
    <row r="78" spans="10:10">
      <c r="J78" t="s">
        <v>156</v>
      </c>
    </row>
    <row r="79" spans="10:10">
      <c r="J79" t="s">
        <v>157</v>
      </c>
    </row>
    <row r="80" spans="10:10">
      <c r="J80" t="s">
        <v>158</v>
      </c>
    </row>
    <row r="81" spans="10:10">
      <c r="J81" t="s">
        <v>160</v>
      </c>
    </row>
    <row r="82" spans="10:10">
      <c r="J82" t="s">
        <v>348</v>
      </c>
    </row>
    <row r="83" spans="10:10">
      <c r="J83" t="s">
        <v>349</v>
      </c>
    </row>
    <row r="84" spans="10:10">
      <c r="J84" t="s">
        <v>350</v>
      </c>
    </row>
    <row r="85" spans="10:10">
      <c r="J85" t="s">
        <v>351</v>
      </c>
    </row>
    <row r="86" spans="10:10">
      <c r="J86" t="s">
        <v>352</v>
      </c>
    </row>
    <row r="87" spans="10:10">
      <c r="J87" t="s">
        <v>164</v>
      </c>
    </row>
    <row r="88" spans="10:10">
      <c r="J88" t="s">
        <v>165</v>
      </c>
    </row>
    <row r="89" spans="10:10">
      <c r="J89" t="s">
        <v>353</v>
      </c>
    </row>
    <row r="90" spans="10:10">
      <c r="J90" t="s">
        <v>354</v>
      </c>
    </row>
    <row r="91" spans="10:10">
      <c r="J91" t="s">
        <v>166</v>
      </c>
    </row>
    <row r="92" spans="10:10">
      <c r="J92" t="s">
        <v>355</v>
      </c>
    </row>
    <row r="93" spans="10:10">
      <c r="J93" t="s">
        <v>356</v>
      </c>
    </row>
  </sheetData>
  <sortState xmlns:xlrd2="http://schemas.microsoft.com/office/spreadsheetml/2017/richdata2" ref="J2:J108">
    <sortCondition ref="J2"/>
  </sortState>
  <conditionalFormatting sqref="A53">
    <cfRule type="expression" dxfId="912" priority="1">
      <formula>$Y52="Benzick, Sue"</formula>
    </cfRule>
    <cfRule type="expression" dxfId="911" priority="2">
      <formula>$Y52="Jenne, Richard"</formula>
    </cfRule>
    <cfRule type="expression" dxfId="910" priority="3">
      <formula>$Y52="McQueen, Jennifer"</formula>
    </cfRule>
  </conditionalFormatting>
  <dataValidations disablePrompts="1" count="1">
    <dataValidation type="list" allowBlank="1" showInputMessage="1" showErrorMessage="1" sqref="A53" xr:uid="{00000000-0002-0000-0700-000000000000}">
      <formula1>Class</formula1>
    </dataValidation>
  </dataValidations>
  <pageMargins left="0.7" right="0.7" top="0.75" bottom="0.75" header="0.3" footer="0.3"/>
  <pageSetup orientation="portrait" r:id="rId1"/>
  <ignoredErrors>
    <ignoredError sqref="C25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  <pageSetUpPr fitToPage="1"/>
  </sheetPr>
  <dimension ref="B1:Y41"/>
  <sheetViews>
    <sheetView showGridLines="0" zoomScale="80" zoomScaleNormal="80" workbookViewId="0">
      <pane xSplit="9" ySplit="4" topLeftCell="J5" activePane="bottomRight" state="frozen"/>
      <selection pane="topRight"/>
      <selection pane="bottomLeft"/>
      <selection pane="bottomRight" activeCell="B4" sqref="B4"/>
    </sheetView>
  </sheetViews>
  <sheetFormatPr defaultColWidth="9.140625" defaultRowHeight="15" customHeight="1"/>
  <cols>
    <col min="1" max="1" width="10.140625" bestFit="1" customWidth="1"/>
    <col min="2" max="2" width="39.5703125" customWidth="1"/>
    <col min="3" max="3" width="7.5703125" customWidth="1"/>
    <col min="4" max="4" width="13.5703125" customWidth="1"/>
    <col min="5" max="5" width="11.140625" customWidth="1"/>
    <col min="6" max="6" width="9.140625" customWidth="1"/>
    <col min="7" max="7" width="9.85546875" customWidth="1"/>
    <col min="8" max="8" width="10.140625" customWidth="1"/>
    <col min="9" max="9" width="12" customWidth="1"/>
    <col min="10" max="10" width="9.85546875" customWidth="1"/>
    <col min="11" max="11" width="8.28515625" customWidth="1"/>
    <col min="12" max="12" width="7.42578125" customWidth="1"/>
    <col min="13" max="14" width="9.28515625" customWidth="1"/>
    <col min="15" max="15" width="17.28515625" customWidth="1"/>
    <col min="16" max="16" width="16.28515625" customWidth="1"/>
    <col min="17" max="17" width="10.7109375" customWidth="1"/>
    <col min="18" max="18" width="17.5703125" customWidth="1"/>
    <col min="19" max="19" width="12.5703125" customWidth="1"/>
    <col min="20" max="20" width="13.28515625" customWidth="1"/>
    <col min="21" max="22" width="10.5703125" customWidth="1"/>
    <col min="23" max="23" width="22.7109375" customWidth="1"/>
    <col min="24" max="24" width="21.7109375" customWidth="1"/>
    <col min="25" max="25" width="27.140625" customWidth="1"/>
  </cols>
  <sheetData>
    <row r="1" spans="2:25">
      <c r="B1" s="54" t="s">
        <v>357</v>
      </c>
      <c r="C1" s="53"/>
      <c r="D1" s="53"/>
      <c r="E1" s="53"/>
      <c r="F1" s="53"/>
      <c r="G1" s="3"/>
      <c r="H1" s="53"/>
      <c r="I1" s="53"/>
      <c r="J1" s="55"/>
      <c r="K1" s="53"/>
      <c r="L1" s="53"/>
      <c r="M1" s="53"/>
      <c r="N1" s="53"/>
      <c r="O1" s="53"/>
      <c r="P1" s="53"/>
      <c r="Q1" s="2"/>
      <c r="R1" s="56"/>
      <c r="S1" s="56"/>
      <c r="T1" s="56"/>
      <c r="U1" s="56"/>
      <c r="V1" s="56"/>
      <c r="W1" s="53"/>
      <c r="X1" s="53"/>
      <c r="Y1" s="53"/>
    </row>
    <row r="2" spans="2:25">
      <c r="B2" s="57" t="e">
        <f ca="1">ModDate()</f>
        <v>#NAME?</v>
      </c>
      <c r="C2" s="53"/>
      <c r="D2" s="53"/>
      <c r="E2" s="53"/>
      <c r="F2" s="53"/>
      <c r="G2" s="53"/>
      <c r="H2" s="53"/>
      <c r="I2" s="53"/>
      <c r="J2" s="55"/>
      <c r="K2" s="53"/>
      <c r="L2" s="53"/>
      <c r="M2" s="53"/>
      <c r="N2" s="53"/>
      <c r="O2" s="53"/>
      <c r="P2" s="53"/>
      <c r="Q2" s="53"/>
      <c r="R2" s="56"/>
      <c r="S2" s="56"/>
      <c r="T2" s="56"/>
      <c r="U2" s="56"/>
      <c r="V2" s="56"/>
      <c r="W2" s="53"/>
      <c r="X2" s="53"/>
      <c r="Y2" s="53"/>
    </row>
    <row r="3" spans="2:25" ht="15.75">
      <c r="B3" s="281" t="s">
        <v>358</v>
      </c>
      <c r="C3" s="282"/>
      <c r="D3" s="282"/>
      <c r="E3" s="282"/>
      <c r="F3" s="282"/>
      <c r="G3" s="282"/>
      <c r="H3" s="282"/>
      <c r="I3" s="282"/>
      <c r="J3" s="282"/>
      <c r="K3" s="283" t="s">
        <v>359</v>
      </c>
      <c r="L3" s="284"/>
      <c r="M3" s="284"/>
      <c r="N3" s="284"/>
      <c r="O3" s="284"/>
      <c r="P3" s="284"/>
      <c r="Q3" s="284"/>
      <c r="R3" s="284"/>
      <c r="S3" s="195"/>
      <c r="T3" s="89"/>
      <c r="U3" s="285" t="s">
        <v>360</v>
      </c>
      <c r="V3" s="285"/>
      <c r="W3" s="285"/>
      <c r="X3" s="285"/>
      <c r="Y3" s="286"/>
    </row>
    <row r="4" spans="2:25" ht="105">
      <c r="B4" s="58" t="s">
        <v>43</v>
      </c>
      <c r="C4" s="59" t="s">
        <v>361</v>
      </c>
      <c r="D4" s="59" t="s">
        <v>362</v>
      </c>
      <c r="E4" s="59" t="s">
        <v>1</v>
      </c>
      <c r="F4" s="59" t="s">
        <v>46</v>
      </c>
      <c r="G4" s="59" t="s">
        <v>2</v>
      </c>
      <c r="H4" s="59" t="s">
        <v>363</v>
      </c>
      <c r="I4" s="59" t="s">
        <v>47</v>
      </c>
      <c r="J4" s="85" t="s">
        <v>48</v>
      </c>
      <c r="K4" s="90" t="s">
        <v>364</v>
      </c>
      <c r="L4" s="86" t="s">
        <v>365</v>
      </c>
      <c r="M4" s="86" t="s">
        <v>366</v>
      </c>
      <c r="N4" s="86" t="s">
        <v>367</v>
      </c>
      <c r="O4" s="87" t="s">
        <v>368</v>
      </c>
      <c r="P4" s="87" t="s">
        <v>369</v>
      </c>
      <c r="Q4" s="87" t="s">
        <v>370</v>
      </c>
      <c r="R4" s="88" t="s">
        <v>371</v>
      </c>
      <c r="S4" s="88" t="s">
        <v>372</v>
      </c>
      <c r="T4" s="91" t="s">
        <v>373</v>
      </c>
      <c r="U4" s="70" t="s">
        <v>374</v>
      </c>
      <c r="V4" s="70" t="s">
        <v>375</v>
      </c>
      <c r="W4" s="60" t="s">
        <v>376</v>
      </c>
      <c r="X4" s="60" t="s">
        <v>377</v>
      </c>
      <c r="Y4" s="61" t="s">
        <v>378</v>
      </c>
    </row>
    <row r="5" spans="2:25" ht="31.5">
      <c r="B5" s="93" t="s">
        <v>184</v>
      </c>
      <c r="C5" s="77"/>
      <c r="D5" s="77" t="s">
        <v>49</v>
      </c>
      <c r="E5" s="77">
        <f>COUNTIF(Table2[Course Title],Table311[[#This Row],[Courses - Planned vs Need (Active Courses)]])</f>
        <v>10</v>
      </c>
      <c r="F5" s="94">
        <v>45</v>
      </c>
      <c r="G5" s="77">
        <f>Table311[[#This Row],[Course Offerings]]*Table311[[#This Row],[Quota per Offering]]</f>
        <v>450</v>
      </c>
      <c r="H5" s="77">
        <v>340</v>
      </c>
      <c r="I5" s="77">
        <f t="shared" ref="I5:I40" si="0">SUM(G5-H5)</f>
        <v>110</v>
      </c>
      <c r="J5" s="80">
        <f t="shared" ref="J5:J40" si="1">SUM(G5/H5)</f>
        <v>1.3235294117647058</v>
      </c>
      <c r="K5" s="78">
        <f>SUMIF(Table2[Course Title],Table311[[#This Row],[Courses - Planned vs Need (Active Courses)]],Table2[Graduates])</f>
        <v>84</v>
      </c>
      <c r="L5" s="79">
        <f>SUMIF(Table2[Course Title],Table311[[#This Row],[Courses - Planned vs Need (Active Courses)]],Table2[No Shows])</f>
        <v>24</v>
      </c>
      <c r="M5" s="79">
        <f>SUMIFS(Table2[Quotas],Table2[Course Title],Table311[[#This Row],[Courses - Planned vs Need (Active Courses)]],Table2[Roster Status],0)-SUMIFS(Table2[Graduates],Table2[Course Title],Table311[[#This Row],[Courses - Planned vs Need (Active Courses)]],Table2[Roster Status],0)-SUMIFS(Table2[Fail],Table2[Course Title],Table311[[#This Row],[Courses - Planned vs Need (Active Courses)]],Table2[Roster Status],0)+Table311[[#This Row],[No Shows]]</f>
        <v>388</v>
      </c>
      <c r="N5" s="81">
        <f>ROUNDDOWN(Table311[[#This Row],[To date quotas unused (Open quotas+ no shows)]]/Table311[[#This Row],[Quota per Offering]],0)</f>
        <v>8</v>
      </c>
      <c r="O5" s="79">
        <f t="shared" ref="O5:O40" si="2">SUM(G5-K5)</f>
        <v>366</v>
      </c>
      <c r="P5" s="81">
        <f>COUNTIFS(Table2[Course Title],Table311[[#This Row],[Courses - Planned vs Need (Active Courses)]],Table2[Roster Status],"1",Table2[Remaining Courses],"0")</f>
        <v>0</v>
      </c>
      <c r="Q5" s="81">
        <f ca="1">COUNTIFS(Table2[Course Title],Table311[[#This Row],[Courses - Planned vs Need (Active Courses)]],Table2[Remaining Courses],"1")</f>
        <v>5</v>
      </c>
      <c r="R5" s="84">
        <f t="shared" ref="R5:R40" si="3">SUM(K5/H5)</f>
        <v>0.24705882352941178</v>
      </c>
      <c r="S5" s="84">
        <f ca="1">IFERROR((Table311[[#This Row],[Quota per Offering]]*(Table311[[#This Row],[Course Offerings]]-Table311[[#This Row],['# of course completion reports to be processed]]-Table311[[#This Row],['# of courses remaining]])-Table311[[#This Row],[To date quotas unused (Open quotas+ no shows)]])/(Table311[[#This Row],[Quota per Offering]]*(Table311[[#This Row],[Course Offerings]]-Table311[[#This Row],['# of course completion reports to be processed]]-Table311[[#This Row],['# of courses remaining]])),0)</f>
        <v>-0.72444444444444445</v>
      </c>
      <c r="T5" s="92">
        <f ca="1">IFERROR((Table311[[#This Row],[Quota per Offering]]*(Table311[[#This Row],[Course Offerings]]-Table311[[#This Row],['# of course completion reports to be processed]]-Table311[[#This Row],['# of courses remaining]])-Table311[[#This Row],[No Shows]])/(Table311[[#This Row],[Quota per Offering]]*(Table311[[#This Row],[Course Offerings]]-Table311[[#This Row],['# of course completion reports to be processed]]-Table311[[#This Row],['# of courses remaining]])),0)</f>
        <v>0.89333333333333331</v>
      </c>
      <c r="U5" s="125">
        <v>82</v>
      </c>
      <c r="V5" s="125">
        <v>135</v>
      </c>
      <c r="W5" s="81">
        <f t="shared" ref="W5:W10" ca="1" si="4">SUM(P5,Q5)*F5</f>
        <v>225</v>
      </c>
      <c r="X5" s="81">
        <f>Table311[[#This Row],[Fleet Quota Need]]-Table311[[#This Row],[Total Grads]]</f>
        <v>256</v>
      </c>
      <c r="Y5" s="63"/>
    </row>
    <row r="6" spans="2:25" ht="15.75">
      <c r="B6" s="93" t="s">
        <v>6</v>
      </c>
      <c r="C6" s="77"/>
      <c r="D6" s="77" t="s">
        <v>50</v>
      </c>
      <c r="E6" s="77">
        <f>COUNTIF(Table2[Course Title],Table311[[#This Row],[Courses - Planned vs Need (Active Courses)]])</f>
        <v>2</v>
      </c>
      <c r="F6" s="77">
        <v>25</v>
      </c>
      <c r="G6" s="77">
        <f>Table311[[#This Row],[Course Offerings]]*Table311[[#This Row],[Quota per Offering]]</f>
        <v>50</v>
      </c>
      <c r="H6" s="77">
        <v>384</v>
      </c>
      <c r="I6" s="77">
        <f t="shared" si="0"/>
        <v>-334</v>
      </c>
      <c r="J6" s="80">
        <f t="shared" si="1"/>
        <v>0.13020833333333334</v>
      </c>
      <c r="K6" s="78">
        <f>SUMIF(Table2[Course Title],Table311[[#This Row],[Courses - Planned vs Need (Active Courses)]],Table2[Graduates])</f>
        <v>17</v>
      </c>
      <c r="L6" s="79">
        <f>SUMIF(Table2[Course Title],Table311[[#This Row],[Courses - Planned vs Need (Active Courses)]],Table2[No Shows])</f>
        <v>1</v>
      </c>
      <c r="M6" s="79">
        <f>SUMIFS(Table2[Quotas],Table2[Course Title],Table311[[#This Row],[Courses - Planned vs Need (Active Courses)]],Table2[Roster Status],0)-SUMIFS(Table2[Graduates],Table2[Course Title],Table311[[#This Row],[Courses - Planned vs Need (Active Courses)]],Table2[Roster Status],0)-SUMIFS(Table2[Fail],Table2[Course Title],Table311[[#This Row],[Courses - Planned vs Need (Active Courses)]],Table2[Roster Status],0)+Table311[[#This Row],[No Shows]]</f>
        <v>34</v>
      </c>
      <c r="N6" s="81">
        <f>ROUNDDOWN(Table311[[#This Row],[To date quotas unused (Open quotas+ no shows)]]/Table311[[#This Row],[Quota per Offering]],0)</f>
        <v>1</v>
      </c>
      <c r="O6" s="79">
        <f t="shared" si="2"/>
        <v>33</v>
      </c>
      <c r="P6" s="81">
        <f>COUNTIFS(Table2[Course Title],Table311[[#This Row],[Courses - Planned vs Need (Active Courses)]],Table2[Roster Status],"1",Table2[Remaining Courses],"0")</f>
        <v>0</v>
      </c>
      <c r="Q6" s="81">
        <f ca="1">COUNTIFS(Table2[Course Title],Table311[[#This Row],[Courses - Planned vs Need (Active Courses)]],Table2[Remaining Courses],"1")</f>
        <v>1</v>
      </c>
      <c r="R6" s="84">
        <f t="shared" si="3"/>
        <v>4.4270833333333336E-2</v>
      </c>
      <c r="S6" s="84">
        <f ca="1">IFERROR((Table311[[#This Row],[Quota per Offering]]*(Table311[[#This Row],[Course Offerings]]-Table311[[#This Row],['# of course completion reports to be processed]]-Table311[[#This Row],['# of courses remaining]])-Table311[[#This Row],[To date quotas unused (Open quotas+ no shows)]])/(Table311[[#This Row],[Quota per Offering]]*(Table311[[#This Row],[Course Offerings]]-Table311[[#This Row],['# of course completion reports to be processed]]-Table311[[#This Row],['# of courses remaining]])),0)</f>
        <v>-0.36</v>
      </c>
      <c r="T6" s="92">
        <f ca="1">IFERROR((Table311[[#This Row],[Quota per Offering]]*(Table311[[#This Row],[Course Offerings]]-Table311[[#This Row],['# of course completion reports to be processed]]-Table311[[#This Row],['# of courses remaining]])-Table311[[#This Row],[No Shows]])/(Table311[[#This Row],[Quota per Offering]]*(Table311[[#This Row],[Course Offerings]]-Table311[[#This Row],['# of course completion reports to be processed]]-Table311[[#This Row],['# of courses remaining]])),0)</f>
        <v>0.96</v>
      </c>
      <c r="U6" s="125">
        <v>0</v>
      </c>
      <c r="V6" s="125">
        <v>19</v>
      </c>
      <c r="W6" s="81">
        <f t="shared" ca="1" si="4"/>
        <v>25</v>
      </c>
      <c r="X6" s="81">
        <f>Table311[[#This Row],[Fleet Quota Need]]-Table311[[#This Row],[Total Grads]]</f>
        <v>367</v>
      </c>
      <c r="Y6" s="63"/>
    </row>
    <row r="7" spans="2:25" ht="15.75">
      <c r="B7" s="93" t="s">
        <v>7</v>
      </c>
      <c r="C7" s="77"/>
      <c r="D7" s="77" t="s">
        <v>50</v>
      </c>
      <c r="E7" s="77">
        <f>COUNTIF(Table2[Course Title],Table311[[#This Row],[Courses - Planned vs Need (Active Courses)]])</f>
        <v>4</v>
      </c>
      <c r="F7" s="77">
        <v>30</v>
      </c>
      <c r="G7" s="77">
        <f>Table311[[#This Row],[Course Offerings]]*Table311[[#This Row],[Quota per Offering]]</f>
        <v>120</v>
      </c>
      <c r="H7" s="77">
        <v>361</v>
      </c>
      <c r="I7" s="77">
        <f t="shared" si="0"/>
        <v>-241</v>
      </c>
      <c r="J7" s="80">
        <f t="shared" si="1"/>
        <v>0.33240997229916897</v>
      </c>
      <c r="K7" s="78">
        <f>SUMIF(Table2[Course Title],Table311[[#This Row],[Courses - Planned vs Need (Active Courses)]],Table2[Graduates])</f>
        <v>46</v>
      </c>
      <c r="L7" s="79">
        <f>SUMIF(Table2[Course Title],Table311[[#This Row],[Courses - Planned vs Need (Active Courses)]],Table2[No Shows])</f>
        <v>2</v>
      </c>
      <c r="M7" s="79">
        <f>SUMIFS(Table2[Quotas],Table2[Course Title],Table311[[#This Row],[Courses - Planned vs Need (Active Courses)]],Table2[Roster Status],0)-SUMIFS(Table2[Graduates],Table2[Course Title],Table311[[#This Row],[Courses - Planned vs Need (Active Courses)]],Table2[Roster Status],0)-SUMIFS(Table2[Fail],Table2[Course Title],Table311[[#This Row],[Courses - Planned vs Need (Active Courses)]],Table2[Roster Status],0)+Table311[[#This Row],[No Shows]]</f>
        <v>76</v>
      </c>
      <c r="N7" s="81">
        <f>ROUNDDOWN(Table311[[#This Row],[To date quotas unused (Open quotas+ no shows)]]/Table311[[#This Row],[Quota per Offering]],0)</f>
        <v>2</v>
      </c>
      <c r="O7" s="79">
        <f t="shared" si="2"/>
        <v>74</v>
      </c>
      <c r="P7" s="81">
        <f>COUNTIFS(Table2[Course Title],Table311[[#This Row],[Courses - Planned vs Need (Active Courses)]],Table2[Roster Status],"1",Table2[Remaining Courses],"0")</f>
        <v>0</v>
      </c>
      <c r="Q7" s="81">
        <f ca="1">COUNTIFS(Table2[Course Title],Table311[[#This Row],[Courses - Planned vs Need (Active Courses)]],Table2[Remaining Courses],"1")</f>
        <v>2</v>
      </c>
      <c r="R7" s="84">
        <f t="shared" si="3"/>
        <v>0.12742382271468145</v>
      </c>
      <c r="S7" s="84">
        <f ca="1">IFERROR((Table311[[#This Row],[Quota per Offering]]*(Table311[[#This Row],[Course Offerings]]-Table311[[#This Row],['# of course completion reports to be processed]]-Table311[[#This Row],['# of courses remaining]])-Table311[[#This Row],[To date quotas unused (Open quotas+ no shows)]])/(Table311[[#This Row],[Quota per Offering]]*(Table311[[#This Row],[Course Offerings]]-Table311[[#This Row],['# of course completion reports to be processed]]-Table311[[#This Row],['# of courses remaining]])),0)</f>
        <v>-0.26666666666666666</v>
      </c>
      <c r="T7" s="92">
        <f ca="1">IFERROR((Table311[[#This Row],[Quota per Offering]]*(Table311[[#This Row],[Course Offerings]]-Table311[[#This Row],['# of course completion reports to be processed]]-Table311[[#This Row],['# of courses remaining]])-Table311[[#This Row],[No Shows]])/(Table311[[#This Row],[Quota per Offering]]*(Table311[[#This Row],[Course Offerings]]-Table311[[#This Row],['# of course completion reports to be processed]]-Table311[[#This Row],['# of courses remaining]])),0)</f>
        <v>0.96666666666666667</v>
      </c>
      <c r="U7" s="125">
        <v>0</v>
      </c>
      <c r="V7" s="125">
        <v>38</v>
      </c>
      <c r="W7" s="81">
        <f t="shared" ca="1" si="4"/>
        <v>60</v>
      </c>
      <c r="X7" s="81">
        <f>Table311[[#This Row],[Fleet Quota Need]]-Table311[[#This Row],[Total Grads]]</f>
        <v>315</v>
      </c>
      <c r="Y7" s="63"/>
    </row>
    <row r="8" spans="2:25" ht="15.75">
      <c r="B8" s="93" t="s">
        <v>8</v>
      </c>
      <c r="C8" s="77"/>
      <c r="D8" s="77" t="s">
        <v>50</v>
      </c>
      <c r="E8" s="77">
        <f>COUNTIF(Table2[Course Title],Table311[[#This Row],[Courses - Planned vs Need (Active Courses)]])</f>
        <v>2</v>
      </c>
      <c r="F8" s="77">
        <v>25</v>
      </c>
      <c r="G8" s="77">
        <f>Table311[[#This Row],[Course Offerings]]*Table311[[#This Row],[Quota per Offering]]</f>
        <v>50</v>
      </c>
      <c r="H8" s="77">
        <v>261</v>
      </c>
      <c r="I8" s="77">
        <f t="shared" si="0"/>
        <v>-211</v>
      </c>
      <c r="J8" s="80">
        <f t="shared" si="1"/>
        <v>0.19157088122605365</v>
      </c>
      <c r="K8" s="78">
        <f>SUMIF(Table2[Course Title],Table311[[#This Row],[Courses - Planned vs Need (Active Courses)]],Table2[Graduates])</f>
        <v>11</v>
      </c>
      <c r="L8" s="79">
        <f>SUMIF(Table2[Course Title],Table311[[#This Row],[Courses - Planned vs Need (Active Courses)]],Table2[No Shows])</f>
        <v>0</v>
      </c>
      <c r="M8" s="79">
        <f>SUMIFS(Table2[Quotas],Table2[Course Title],Table311[[#This Row],[Courses - Planned vs Need (Active Courses)]],Table2[Roster Status],0)-SUMIFS(Table2[Graduates],Table2[Course Title],Table311[[#This Row],[Courses - Planned vs Need (Active Courses)]],Table2[Roster Status],0)-SUMIFS(Table2[Fail],Table2[Course Title],Table311[[#This Row],[Courses - Planned vs Need (Active Courses)]],Table2[Roster Status],0)+Table311[[#This Row],[No Shows]]</f>
        <v>39</v>
      </c>
      <c r="N8" s="81">
        <f>ROUNDDOWN(Table311[[#This Row],[To date quotas unused (Open quotas+ no shows)]]/Table311[[#This Row],[Quota per Offering]],0)</f>
        <v>1</v>
      </c>
      <c r="O8" s="79">
        <f t="shared" si="2"/>
        <v>39</v>
      </c>
      <c r="P8" s="81">
        <f>COUNTIFS(Table2[Course Title],Table311[[#This Row],[Courses - Planned vs Need (Active Courses)]],Table2[Roster Status],"1",Table2[Remaining Courses],"0")</f>
        <v>0</v>
      </c>
      <c r="Q8" s="81">
        <f ca="1">COUNTIFS(Table2[Course Title],Table311[[#This Row],[Courses - Planned vs Need (Active Courses)]],Table2[Remaining Courses],"1")</f>
        <v>1</v>
      </c>
      <c r="R8" s="84">
        <f t="shared" si="3"/>
        <v>4.2145593869731802E-2</v>
      </c>
      <c r="S8" s="84">
        <f ca="1">IFERROR((Table311[[#This Row],[Quota per Offering]]*(Table311[[#This Row],[Course Offerings]]-Table311[[#This Row],['# of course completion reports to be processed]]-Table311[[#This Row],['# of courses remaining]])-Table311[[#This Row],[To date quotas unused (Open quotas+ no shows)]])/(Table311[[#This Row],[Quota per Offering]]*(Table311[[#This Row],[Course Offerings]]-Table311[[#This Row],['# of course completion reports to be processed]]-Table311[[#This Row],['# of courses remaining]])),0)</f>
        <v>-0.56000000000000005</v>
      </c>
      <c r="T8" s="92">
        <f ca="1">IFERROR((Table311[[#This Row],[Quota per Offering]]*(Table311[[#This Row],[Course Offerings]]-Table311[[#This Row],['# of course completion reports to be processed]]-Table311[[#This Row],['# of courses remaining]])-Table311[[#This Row],[No Shows]])/(Table311[[#This Row],[Quota per Offering]]*(Table311[[#This Row],[Course Offerings]]-Table311[[#This Row],['# of course completion reports to be processed]]-Table311[[#This Row],['# of courses remaining]])),0)</f>
        <v>1</v>
      </c>
      <c r="U8" s="125">
        <v>0</v>
      </c>
      <c r="V8" s="125">
        <v>19</v>
      </c>
      <c r="W8" s="81">
        <f t="shared" ca="1" si="4"/>
        <v>25</v>
      </c>
      <c r="X8" s="81">
        <f>Table311[[#This Row],[Fleet Quota Need]]-Table311[[#This Row],[Total Grads]]</f>
        <v>250</v>
      </c>
      <c r="Y8" s="63"/>
    </row>
    <row r="9" spans="2:25" ht="31.5">
      <c r="B9" s="93" t="s">
        <v>9</v>
      </c>
      <c r="C9" s="77"/>
      <c r="D9" s="77" t="s">
        <v>50</v>
      </c>
      <c r="E9" s="77">
        <f>COUNTIF(Table2[Course Title],Table311[[#This Row],[Courses - Planned vs Need (Active Courses)]])</f>
        <v>4</v>
      </c>
      <c r="F9" s="77">
        <v>30</v>
      </c>
      <c r="G9" s="77">
        <f>Table311[[#This Row],[Course Offerings]]*Table311[[#This Row],[Quota per Offering]]</f>
        <v>120</v>
      </c>
      <c r="H9" s="77">
        <v>234</v>
      </c>
      <c r="I9" s="77">
        <f t="shared" si="0"/>
        <v>-114</v>
      </c>
      <c r="J9" s="80">
        <f t="shared" si="1"/>
        <v>0.51282051282051277</v>
      </c>
      <c r="K9" s="78">
        <f>SUMIF(Table2[Course Title],Table311[[#This Row],[Courses - Planned vs Need (Active Courses)]],Table2[Graduates])</f>
        <v>24</v>
      </c>
      <c r="L9" s="79">
        <f>SUMIF(Table2[Course Title],Table311[[#This Row],[Courses - Planned vs Need (Active Courses)]],Table2[No Shows])</f>
        <v>1</v>
      </c>
      <c r="M9" s="79">
        <f>SUMIFS(Table2[Quotas],Table2[Course Title],Table311[[#This Row],[Courses - Planned vs Need (Active Courses)]],Table2[Roster Status],0)-SUMIFS(Table2[Graduates],Table2[Course Title],Table311[[#This Row],[Courses - Planned vs Need (Active Courses)]],Table2[Roster Status],0)-SUMIFS(Table2[Fail],Table2[Course Title],Table311[[#This Row],[Courses - Planned vs Need (Active Courses)]],Table2[Roster Status],0)+Table311[[#This Row],[No Shows]]</f>
        <v>97</v>
      </c>
      <c r="N9" s="81">
        <f>ROUNDDOWN(Table311[[#This Row],[To date quotas unused (Open quotas+ no shows)]]/Table311[[#This Row],[Quota per Offering]],0)</f>
        <v>3</v>
      </c>
      <c r="O9" s="79">
        <f t="shared" si="2"/>
        <v>96</v>
      </c>
      <c r="P9" s="81">
        <f>COUNTIFS(Table2[Course Title],Table311[[#This Row],[Courses - Planned vs Need (Active Courses)]],Table2[Roster Status],"1",Table2[Remaining Courses],"0")</f>
        <v>0</v>
      </c>
      <c r="Q9" s="81">
        <f ca="1">COUNTIFS(Table2[Course Title],Table311[[#This Row],[Courses - Planned vs Need (Active Courses)]],Table2[Remaining Courses],"1")</f>
        <v>2</v>
      </c>
      <c r="R9" s="84">
        <f t="shared" si="3"/>
        <v>0.10256410256410256</v>
      </c>
      <c r="S9" s="84">
        <f ca="1">IFERROR((Table311[[#This Row],[Quota per Offering]]*(Table311[[#This Row],[Course Offerings]]-Table311[[#This Row],['# of course completion reports to be processed]]-Table311[[#This Row],['# of courses remaining]])-Table311[[#This Row],[To date quotas unused (Open quotas+ no shows)]])/(Table311[[#This Row],[Quota per Offering]]*(Table311[[#This Row],[Course Offerings]]-Table311[[#This Row],['# of course completion reports to be processed]]-Table311[[#This Row],['# of courses remaining]])),0)</f>
        <v>-0.6166666666666667</v>
      </c>
      <c r="T9" s="92">
        <f ca="1">IFERROR((Table311[[#This Row],[Quota per Offering]]*(Table311[[#This Row],[Course Offerings]]-Table311[[#This Row],['# of course completion reports to be processed]]-Table311[[#This Row],['# of courses remaining]])-Table311[[#This Row],[No Shows]])/(Table311[[#This Row],[Quota per Offering]]*(Table311[[#This Row],[Course Offerings]]-Table311[[#This Row],['# of course completion reports to be processed]]-Table311[[#This Row],['# of courses remaining]])),0)</f>
        <v>0.98333333333333328</v>
      </c>
      <c r="U9" s="125">
        <v>0</v>
      </c>
      <c r="V9" s="125">
        <v>26</v>
      </c>
      <c r="W9" s="81">
        <f t="shared" ca="1" si="4"/>
        <v>60</v>
      </c>
      <c r="X9" s="81">
        <f>Table311[[#This Row],[Fleet Quota Need]]-Table311[[#This Row],[Total Grads]]</f>
        <v>210</v>
      </c>
      <c r="Y9" s="63"/>
    </row>
    <row r="10" spans="2:25" ht="15.75">
      <c r="B10" s="93" t="s">
        <v>10</v>
      </c>
      <c r="C10" s="77"/>
      <c r="D10" s="77" t="s">
        <v>50</v>
      </c>
      <c r="E10" s="77">
        <f>COUNTIF(Table2[Course Title],Table311[[#This Row],[Courses - Planned vs Need (Active Courses)]])</f>
        <v>2</v>
      </c>
      <c r="F10" s="77">
        <v>25</v>
      </c>
      <c r="G10" s="77">
        <f>Table311[[#This Row],[Course Offerings]]*Table311[[#This Row],[Quota per Offering]]</f>
        <v>50</v>
      </c>
      <c r="H10" s="77">
        <v>291</v>
      </c>
      <c r="I10" s="77">
        <f t="shared" si="0"/>
        <v>-241</v>
      </c>
      <c r="J10" s="80">
        <f t="shared" si="1"/>
        <v>0.1718213058419244</v>
      </c>
      <c r="K10" s="78">
        <f>SUMIF(Table2[Course Title],Table311[[#This Row],[Courses - Planned vs Need (Active Courses)]],Table2[Graduates])</f>
        <v>7</v>
      </c>
      <c r="L10" s="79">
        <f>SUMIF(Table2[Course Title],Table311[[#This Row],[Courses - Planned vs Need (Active Courses)]],Table2[No Shows])</f>
        <v>3</v>
      </c>
      <c r="M10" s="79">
        <f>SUMIFS(Table2[Quotas],Table2[Course Title],Table311[[#This Row],[Courses - Planned vs Need (Active Courses)]],Table2[Roster Status],0)-SUMIFS(Table2[Graduates],Table2[Course Title],Table311[[#This Row],[Courses - Planned vs Need (Active Courses)]],Table2[Roster Status],0)-SUMIFS(Table2[Fail],Table2[Course Title],Table311[[#This Row],[Courses - Planned vs Need (Active Courses)]],Table2[Roster Status],0)+Table311[[#This Row],[No Shows]]</f>
        <v>46</v>
      </c>
      <c r="N10" s="81">
        <f>ROUNDDOWN(Table311[[#This Row],[To date quotas unused (Open quotas+ no shows)]]/Table311[[#This Row],[Quota per Offering]],0)</f>
        <v>1</v>
      </c>
      <c r="O10" s="79">
        <f t="shared" si="2"/>
        <v>43</v>
      </c>
      <c r="P10" s="81">
        <f>COUNTIFS(Table2[Course Title],Table311[[#This Row],[Courses - Planned vs Need (Active Courses)]],Table2[Roster Status],"1",Table2[Remaining Courses],"0")</f>
        <v>0</v>
      </c>
      <c r="Q10" s="81">
        <f ca="1">COUNTIFS(Table2[Course Title],Table311[[#This Row],[Courses - Planned vs Need (Active Courses)]],Table2[Remaining Courses],"1")</f>
        <v>1</v>
      </c>
      <c r="R10" s="84">
        <f t="shared" si="3"/>
        <v>2.4054982817869417E-2</v>
      </c>
      <c r="S10" s="84">
        <f ca="1">IFERROR((Table311[[#This Row],[Quota per Offering]]*(Table311[[#This Row],[Course Offerings]]-Table311[[#This Row],['# of course completion reports to be processed]]-Table311[[#This Row],['# of courses remaining]])-Table311[[#This Row],[To date quotas unused (Open quotas+ no shows)]])/(Table311[[#This Row],[Quota per Offering]]*(Table311[[#This Row],[Course Offerings]]-Table311[[#This Row],['# of course completion reports to be processed]]-Table311[[#This Row],['# of courses remaining]])),0)</f>
        <v>-0.84</v>
      </c>
      <c r="T10" s="92">
        <f ca="1">IFERROR((Table311[[#This Row],[Quota per Offering]]*(Table311[[#This Row],[Course Offerings]]-Table311[[#This Row],['# of course completion reports to be processed]]-Table311[[#This Row],['# of courses remaining]])-Table311[[#This Row],[No Shows]])/(Table311[[#This Row],[Quota per Offering]]*(Table311[[#This Row],[Course Offerings]]-Table311[[#This Row],['# of course completion reports to be processed]]-Table311[[#This Row],['# of courses remaining]])),0)</f>
        <v>0.88</v>
      </c>
      <c r="U10" s="125">
        <v>0</v>
      </c>
      <c r="V10" s="125">
        <v>23</v>
      </c>
      <c r="W10" s="81">
        <f t="shared" ca="1" si="4"/>
        <v>25</v>
      </c>
      <c r="X10" s="81">
        <f>Table311[[#This Row],[Fleet Quota Need]]-Table311[[#This Row],[Total Grads]]</f>
        <v>284</v>
      </c>
      <c r="Y10" s="63"/>
    </row>
    <row r="11" spans="2:25" ht="15.75">
      <c r="B11" s="93" t="s">
        <v>11</v>
      </c>
      <c r="C11" s="77"/>
      <c r="D11" s="77" t="s">
        <v>50</v>
      </c>
      <c r="E11" s="77">
        <f>COUNTIF(Table2[Course Title],Table311[[#This Row],[Courses - Planned vs Need (Active Courses)]])</f>
        <v>4</v>
      </c>
      <c r="F11" s="77">
        <v>30</v>
      </c>
      <c r="G11" s="77">
        <f>Table311[[#This Row],[Course Offerings]]*Table311[[#This Row],[Quota per Offering]]</f>
        <v>120</v>
      </c>
      <c r="H11" s="77">
        <v>299</v>
      </c>
      <c r="I11" s="77">
        <f t="shared" si="0"/>
        <v>-179</v>
      </c>
      <c r="J11" s="80">
        <f t="shared" si="1"/>
        <v>0.40133779264214048</v>
      </c>
      <c r="K11" s="78">
        <f>SUMIF(Table2[Course Title],Table311[[#This Row],[Courses - Planned vs Need (Active Courses)]],Table2[Graduates])</f>
        <v>36</v>
      </c>
      <c r="L11" s="79">
        <f>SUMIF(Table2[Course Title],Table311[[#This Row],[Courses - Planned vs Need (Active Courses)]],Table2[No Shows])</f>
        <v>2</v>
      </c>
      <c r="M11" s="79">
        <f>SUMIFS(Table2[Quotas],Table2[Course Title],Table311[[#This Row],[Courses - Planned vs Need (Active Courses)]],Table2[Roster Status],0)-SUMIFS(Table2[Graduates],Table2[Course Title],Table311[[#This Row],[Courses - Planned vs Need (Active Courses)]],Table2[Roster Status],0)-SUMIFS(Table2[Fail],Table2[Course Title],Table311[[#This Row],[Courses - Planned vs Need (Active Courses)]],Table2[Roster Status],0)+Table311[[#This Row],[No Shows]]</f>
        <v>86</v>
      </c>
      <c r="N11" s="81">
        <f>ROUNDDOWN(Table311[[#This Row],[To date quotas unused (Open quotas+ no shows)]]/Table311[[#This Row],[Quota per Offering]],0)</f>
        <v>2</v>
      </c>
      <c r="O11" s="79">
        <f t="shared" si="2"/>
        <v>84</v>
      </c>
      <c r="P11" s="81">
        <f>COUNTIFS(Table2[Course Title],Table311[[#This Row],[Courses - Planned vs Need (Active Courses)]],Table2[Roster Status],"1",Table2[Remaining Courses],"0")</f>
        <v>0</v>
      </c>
      <c r="Q11" s="81">
        <f ca="1">COUNTIFS(Table2[Course Title],Table311[[#This Row],[Courses - Planned vs Need (Active Courses)]],Table2[Remaining Courses],"1")</f>
        <v>2</v>
      </c>
      <c r="R11" s="84">
        <f t="shared" si="3"/>
        <v>0.12040133779264214</v>
      </c>
      <c r="S11" s="84">
        <f ca="1">IFERROR((Table311[[#This Row],[Quota per Offering]]*(Table311[[#This Row],[Course Offerings]]-Table311[[#This Row],['# of course completion reports to be processed]]-Table311[[#This Row],['# of courses remaining]])-Table311[[#This Row],[To date quotas unused (Open quotas+ no shows)]])/(Table311[[#This Row],[Quota per Offering]]*(Table311[[#This Row],[Course Offerings]]-Table311[[#This Row],['# of course completion reports to be processed]]-Table311[[#This Row],['# of courses remaining]])),0)</f>
        <v>-0.43333333333333335</v>
      </c>
      <c r="T11" s="92">
        <f ca="1">IFERROR((Table311[[#This Row],[Quota per Offering]]*(Table311[[#This Row],[Course Offerings]]-Table311[[#This Row],['# of course completion reports to be processed]]-Table311[[#This Row],['# of courses remaining]])-Table311[[#This Row],[No Shows]])/(Table311[[#This Row],[Quota per Offering]]*(Table311[[#This Row],[Course Offerings]]-Table311[[#This Row],['# of course completion reports to be processed]]-Table311[[#This Row],['# of courses remaining]])),0)</f>
        <v>0.96666666666666667</v>
      </c>
      <c r="U11" s="126">
        <v>0</v>
      </c>
      <c r="V11" s="126">
        <v>49</v>
      </c>
      <c r="W11" s="81">
        <v>58</v>
      </c>
      <c r="X11" s="81">
        <f>Table311[[#This Row],[Fleet Quota Need]]-Table311[[#This Row],[Total Grads]]</f>
        <v>263</v>
      </c>
      <c r="Y11" s="63"/>
    </row>
    <row r="12" spans="2:25" ht="31.5">
      <c r="B12" s="93" t="s">
        <v>215</v>
      </c>
      <c r="C12" s="77"/>
      <c r="D12" s="77" t="s">
        <v>51</v>
      </c>
      <c r="E12" s="77">
        <f>COUNTIF(Table2[Course Title],Table311[[#This Row],[Courses - Planned vs Need (Active Courses)]])</f>
        <v>10</v>
      </c>
      <c r="F12" s="77">
        <v>45</v>
      </c>
      <c r="G12" s="77">
        <f>Table311[[#This Row],[Course Offerings]]*Table311[[#This Row],[Quota per Offering]]</f>
        <v>450</v>
      </c>
      <c r="H12" s="77">
        <v>406</v>
      </c>
      <c r="I12" s="77">
        <f t="shared" si="0"/>
        <v>44</v>
      </c>
      <c r="J12" s="80">
        <f t="shared" si="1"/>
        <v>1.1083743842364533</v>
      </c>
      <c r="K12" s="78">
        <f>SUMIF(Table2[Course Title],Table311[[#This Row],[Courses - Planned vs Need (Active Courses)]],Table2[Graduates])</f>
        <v>110</v>
      </c>
      <c r="L12" s="79">
        <f>SUMIF(Table2[Course Title],Table311[[#This Row],[Courses - Planned vs Need (Active Courses)]],Table2[No Shows])</f>
        <v>18</v>
      </c>
      <c r="M12" s="79">
        <f>SUMIFS(Table2[Quotas],Table2[Course Title],Table311[[#This Row],[Courses - Planned vs Need (Active Courses)]],Table2[Roster Status],0)-SUMIFS(Table2[Graduates],Table2[Course Title],Table311[[#This Row],[Courses - Planned vs Need (Active Courses)]],Table2[Roster Status],0)-SUMIFS(Table2[Fail],Table2[Course Title],Table311[[#This Row],[Courses - Planned vs Need (Active Courses)]],Table2[Roster Status],0)+Table311[[#This Row],[No Shows]]</f>
        <v>350</v>
      </c>
      <c r="N12" s="81">
        <f>ROUNDDOWN(Table311[[#This Row],[To date quotas unused (Open quotas+ no shows)]]/Table311[[#This Row],[Quota per Offering]],0)</f>
        <v>7</v>
      </c>
      <c r="O12" s="79">
        <f t="shared" si="2"/>
        <v>340</v>
      </c>
      <c r="P12" s="81">
        <f>COUNTIFS(Table2[Course Title],Table311[[#This Row],[Courses - Planned vs Need (Active Courses)]],Table2[Roster Status],"1",Table2[Remaining Courses],"0")</f>
        <v>0</v>
      </c>
      <c r="Q12" s="81">
        <f ca="1">COUNTIFS(Table2[Course Title],Table311[[#This Row],[Courses - Planned vs Need (Active Courses)]],Table2[Remaining Courses],"1")</f>
        <v>6</v>
      </c>
      <c r="R12" s="84">
        <f t="shared" si="3"/>
        <v>0.27093596059113301</v>
      </c>
      <c r="S12" s="84">
        <f ca="1">IFERROR((Table311[[#This Row],[Quota per Offering]]*(Table311[[#This Row],[Course Offerings]]-Table311[[#This Row],['# of course completion reports to be processed]]-Table311[[#This Row],['# of courses remaining]])-Table311[[#This Row],[To date quotas unused (Open quotas+ no shows)]])/(Table311[[#This Row],[Quota per Offering]]*(Table311[[#This Row],[Course Offerings]]-Table311[[#This Row],['# of course completion reports to be processed]]-Table311[[#This Row],['# of courses remaining]])),0)</f>
        <v>-0.94444444444444442</v>
      </c>
      <c r="T12" s="92">
        <f ca="1">IFERROR((Table311[[#This Row],[Quota per Offering]]*(Table311[[#This Row],[Course Offerings]]-Table311[[#This Row],['# of course completion reports to be processed]]-Table311[[#This Row],['# of courses remaining]])-Table311[[#This Row],[No Shows]])/(Table311[[#This Row],[Quota per Offering]]*(Table311[[#This Row],[Course Offerings]]-Table311[[#This Row],['# of course completion reports to be processed]]-Table311[[#This Row],['# of courses remaining]])),0)</f>
        <v>0.9</v>
      </c>
      <c r="U12" s="126">
        <v>53</v>
      </c>
      <c r="V12" s="126">
        <v>175</v>
      </c>
      <c r="W12" s="81">
        <f t="shared" ref="W12:W40" ca="1" si="5">SUM(P12,Q12)*F12</f>
        <v>270</v>
      </c>
      <c r="X12" s="81">
        <f>Table311[[#This Row],[Fleet Quota Need]]-Table311[[#This Row],[Total Grads]]</f>
        <v>296</v>
      </c>
      <c r="Y12" s="63"/>
    </row>
    <row r="13" spans="2:25" ht="31.5">
      <c r="B13" s="106" t="s">
        <v>236</v>
      </c>
      <c r="C13" s="77" t="s">
        <v>53</v>
      </c>
      <c r="D13" s="77" t="s">
        <v>54</v>
      </c>
      <c r="E13" s="77">
        <f>COUNTIF(Table2[Course Title],Table311[[#This Row],[Courses - Planned vs Need (Active Courses)]])</f>
        <v>33</v>
      </c>
      <c r="F13" s="77">
        <v>25</v>
      </c>
      <c r="G13" s="77">
        <f>Table311[[#This Row],[Course Offerings]]*Table311[[#This Row],[Quota per Offering]]</f>
        <v>825</v>
      </c>
      <c r="H13" s="77">
        <v>2051</v>
      </c>
      <c r="I13" s="77">
        <f t="shared" si="0"/>
        <v>-1226</v>
      </c>
      <c r="J13" s="80">
        <f t="shared" si="1"/>
        <v>0.40224280838615312</v>
      </c>
      <c r="K13" s="78">
        <f>SUMIF(Table2[Course Title],Table311[[#This Row],[Courses - Planned vs Need (Active Courses)]],Table2[Graduates])</f>
        <v>221</v>
      </c>
      <c r="L13" s="79">
        <f>SUMIF(Table2[Course Title],Table311[[#This Row],[Courses - Planned vs Need (Active Courses)]],Table2[No Shows])</f>
        <v>83</v>
      </c>
      <c r="M13" s="79">
        <f>SUMIFS(Table2[Quotas],Table2[Course Title],Table311[[#This Row],[Courses - Planned vs Need (Active Courses)]],Table2[Roster Status],0)-SUMIFS(Table2[Graduates],Table2[Course Title],Table311[[#This Row],[Courses - Planned vs Need (Active Courses)]],Table2[Roster Status],0)-SUMIFS(Table2[Fail],Table2[Course Title],Table311[[#This Row],[Courses - Planned vs Need (Active Courses)]],Table2[Roster Status],0)+Table311[[#This Row],[No Shows]]</f>
        <v>687</v>
      </c>
      <c r="N13" s="81">
        <f>ROUNDDOWN(Table311[[#This Row],[To date quotas unused (Open quotas+ no shows)]]/Table311[[#This Row],[Quota per Offering]],0)</f>
        <v>27</v>
      </c>
      <c r="O13" s="79">
        <f t="shared" si="2"/>
        <v>604</v>
      </c>
      <c r="P13" s="81">
        <f>COUNTIFS(Table2[Course Title],Table311[[#This Row],[Courses - Planned vs Need (Active Courses)]],Table2[Roster Status],"1",Table2[Remaining Courses],"0")</f>
        <v>0</v>
      </c>
      <c r="Q13" s="81">
        <f ca="1">COUNTIFS(Table2[Course Title],Table311[[#This Row],[Courses - Planned vs Need (Active Courses)]],Table2[Remaining Courses],"1")</f>
        <v>19</v>
      </c>
      <c r="R13" s="84">
        <f t="shared" si="3"/>
        <v>0.10775231594344223</v>
      </c>
      <c r="S13" s="84">
        <f ca="1">IFERROR((Table311[[#This Row],[Quota per Offering]]*(Table311[[#This Row],[Course Offerings]]-Table311[[#This Row],['# of course completion reports to be processed]]-Table311[[#This Row],['# of courses remaining]])-Table311[[#This Row],[To date quotas unused (Open quotas+ no shows)]])/(Table311[[#This Row],[Quota per Offering]]*(Table311[[#This Row],[Course Offerings]]-Table311[[#This Row],['# of course completion reports to be processed]]-Table311[[#This Row],['# of courses remaining]])),0)</f>
        <v>-0.96285714285714286</v>
      </c>
      <c r="T13" s="92">
        <f ca="1">IFERROR((Table311[[#This Row],[Quota per Offering]]*(Table311[[#This Row],[Course Offerings]]-Table311[[#This Row],['# of course completion reports to be processed]]-Table311[[#This Row],['# of courses remaining]])-Table311[[#This Row],[No Shows]])/(Table311[[#This Row],[Quota per Offering]]*(Table311[[#This Row],[Course Offerings]]-Table311[[#This Row],['# of course completion reports to be processed]]-Table311[[#This Row],['# of courses remaining]])),0)</f>
        <v>0.7628571428571429</v>
      </c>
      <c r="U13" s="126">
        <v>34</v>
      </c>
      <c r="V13" s="126">
        <v>182</v>
      </c>
      <c r="W13" s="81">
        <f t="shared" ca="1" si="5"/>
        <v>475</v>
      </c>
      <c r="X13" s="81">
        <f>Table311[[#This Row],[Fleet Quota Need]]-Table311[[#This Row],[Total Grads]]</f>
        <v>1830</v>
      </c>
      <c r="Y13" s="63"/>
    </row>
    <row r="14" spans="2:25" ht="15.75">
      <c r="B14" s="106" t="s">
        <v>14</v>
      </c>
      <c r="C14" s="77" t="s">
        <v>53</v>
      </c>
      <c r="D14" s="77" t="s">
        <v>50</v>
      </c>
      <c r="E14" s="77">
        <f>COUNTIF(Table2[Course Title],Table311[[#This Row],[Courses - Planned vs Need (Active Courses)]])</f>
        <v>10</v>
      </c>
      <c r="F14" s="77">
        <v>25</v>
      </c>
      <c r="G14" s="77">
        <f>Table311[[#This Row],[Course Offerings]]*Table311[[#This Row],[Quota per Offering]]</f>
        <v>250</v>
      </c>
      <c r="H14" s="77">
        <v>860</v>
      </c>
      <c r="I14" s="77">
        <f t="shared" si="0"/>
        <v>-610</v>
      </c>
      <c r="J14" s="80">
        <f t="shared" si="1"/>
        <v>0.29069767441860467</v>
      </c>
      <c r="K14" s="78">
        <f>SUMIF(Table2[Course Title],Table311[[#This Row],[Courses - Planned vs Need (Active Courses)]],Table2[Graduates])</f>
        <v>37</v>
      </c>
      <c r="L14" s="79">
        <f>SUMIF(Table2[Course Title],Table311[[#This Row],[Courses - Planned vs Need (Active Courses)]],Table2[No Shows])</f>
        <v>19</v>
      </c>
      <c r="M14" s="79">
        <f>SUMIFS(Table2[Quotas],Table2[Course Title],Table311[[#This Row],[Courses - Planned vs Need (Active Courses)]],Table2[Roster Status],0)-SUMIFS(Table2[Graduates],Table2[Course Title],Table311[[#This Row],[Courses - Planned vs Need (Active Courses)]],Table2[Roster Status],0)-SUMIFS(Table2[Fail],Table2[Course Title],Table311[[#This Row],[Courses - Planned vs Need (Active Courses)]],Table2[Roster Status],0)+Table311[[#This Row],[No Shows]]</f>
        <v>230</v>
      </c>
      <c r="N14" s="81">
        <f>ROUNDDOWN(Table311[[#This Row],[To date quotas unused (Open quotas+ no shows)]]/Table311[[#This Row],[Quota per Offering]],0)</f>
        <v>9</v>
      </c>
      <c r="O14" s="79">
        <f t="shared" si="2"/>
        <v>213</v>
      </c>
      <c r="P14" s="81">
        <f>COUNTIFS(Table2[Course Title],Table311[[#This Row],[Courses - Planned vs Need (Active Courses)]],Table2[Roster Status],"1",Table2[Remaining Courses],"0")</f>
        <v>0</v>
      </c>
      <c r="Q14" s="81">
        <f ca="1">COUNTIFS(Table2[Course Title],Table311[[#This Row],[Courses - Planned vs Need (Active Courses)]],Table2[Remaining Courses],"1")</f>
        <v>6</v>
      </c>
      <c r="R14" s="84">
        <f t="shared" si="3"/>
        <v>4.3023255813953491E-2</v>
      </c>
      <c r="S14" s="84">
        <f ca="1">IFERROR((Table311[[#This Row],[Quota per Offering]]*(Table311[[#This Row],[Course Offerings]]-Table311[[#This Row],['# of course completion reports to be processed]]-Table311[[#This Row],['# of courses remaining]])-Table311[[#This Row],[To date quotas unused (Open quotas+ no shows)]])/(Table311[[#This Row],[Quota per Offering]]*(Table311[[#This Row],[Course Offerings]]-Table311[[#This Row],['# of course completion reports to be processed]]-Table311[[#This Row],['# of courses remaining]])),0)</f>
        <v>-1.3</v>
      </c>
      <c r="T14" s="92">
        <f ca="1">IFERROR((Table311[[#This Row],[Quota per Offering]]*(Table311[[#This Row],[Course Offerings]]-Table311[[#This Row],['# of course completion reports to be processed]]-Table311[[#This Row],['# of courses remaining]])-Table311[[#This Row],[No Shows]])/(Table311[[#This Row],[Quota per Offering]]*(Table311[[#This Row],[Course Offerings]]-Table311[[#This Row],['# of course completion reports to be processed]]-Table311[[#This Row],['# of courses remaining]])),0)</f>
        <v>0.81</v>
      </c>
      <c r="U14" s="125">
        <v>29</v>
      </c>
      <c r="V14" s="125">
        <v>31</v>
      </c>
      <c r="W14" s="81">
        <f t="shared" ca="1" si="5"/>
        <v>150</v>
      </c>
      <c r="X14" s="81">
        <f>Table311[[#This Row],[Fleet Quota Need]]-Table311[[#This Row],[Total Grads]]</f>
        <v>823</v>
      </c>
      <c r="Y14" s="63"/>
    </row>
    <row r="15" spans="2:25" ht="15.75">
      <c r="B15" s="106" t="s">
        <v>15</v>
      </c>
      <c r="C15" s="77" t="s">
        <v>53</v>
      </c>
      <c r="D15" s="77" t="s">
        <v>54</v>
      </c>
      <c r="E15" s="77">
        <f>COUNTIF(Table2[Course Title],Table311[[#This Row],[Courses - Planned vs Need (Active Courses)]])</f>
        <v>7</v>
      </c>
      <c r="F15" s="77">
        <v>35</v>
      </c>
      <c r="G15" s="77">
        <f>Table311[[#This Row],[Course Offerings]]*Table311[[#This Row],[Quota per Offering]]</f>
        <v>245</v>
      </c>
      <c r="H15" s="77">
        <v>494</v>
      </c>
      <c r="I15" s="77">
        <f t="shared" si="0"/>
        <v>-249</v>
      </c>
      <c r="J15" s="80">
        <f t="shared" si="1"/>
        <v>0.4959514170040486</v>
      </c>
      <c r="K15" s="78">
        <f>SUMIF(Table2[Course Title],Table311[[#This Row],[Courses - Planned vs Need (Active Courses)]],Table2[Graduates])</f>
        <v>19</v>
      </c>
      <c r="L15" s="79">
        <f>SUMIF(Table2[Course Title],Table311[[#This Row],[Courses - Planned vs Need (Active Courses)]],Table2[No Shows])</f>
        <v>5</v>
      </c>
      <c r="M15" s="79">
        <f>SUMIFS(Table2[Quotas],Table2[Course Title],Table311[[#This Row],[Courses - Planned vs Need (Active Courses)]],Table2[Roster Status],0)-SUMIFS(Table2[Graduates],Table2[Course Title],Table311[[#This Row],[Courses - Planned vs Need (Active Courses)]],Table2[Roster Status],0)-SUMIFS(Table2[Fail],Table2[Course Title],Table311[[#This Row],[Courses - Planned vs Need (Active Courses)]],Table2[Roster Status],0)+Table311[[#This Row],[No Shows]]</f>
        <v>231</v>
      </c>
      <c r="N15" s="81">
        <f>ROUNDDOWN(Table311[[#This Row],[To date quotas unused (Open quotas+ no shows)]]/Table311[[#This Row],[Quota per Offering]],0)</f>
        <v>6</v>
      </c>
      <c r="O15" s="79">
        <f t="shared" si="2"/>
        <v>226</v>
      </c>
      <c r="P15" s="81">
        <f>COUNTIFS(Table2[Course Title],Table311[[#This Row],[Courses - Planned vs Need (Active Courses)]],Table2[Roster Status],"1",Table2[Remaining Courses],"0")</f>
        <v>0</v>
      </c>
      <c r="Q15" s="81">
        <f ca="1">COUNTIFS(Table2[Course Title],Table311[[#This Row],[Courses - Planned vs Need (Active Courses)]],Table2[Remaining Courses],"1")</f>
        <v>6</v>
      </c>
      <c r="R15" s="84">
        <f t="shared" si="3"/>
        <v>3.8461538461538464E-2</v>
      </c>
      <c r="S15" s="84">
        <f ca="1">IFERROR((Table311[[#This Row],[Quota per Offering]]*(Table311[[#This Row],[Course Offerings]]-Table311[[#This Row],['# of course completion reports to be processed]]-Table311[[#This Row],['# of courses remaining]])-Table311[[#This Row],[To date quotas unused (Open quotas+ no shows)]])/(Table311[[#This Row],[Quota per Offering]]*(Table311[[#This Row],[Course Offerings]]-Table311[[#This Row],['# of course completion reports to be processed]]-Table311[[#This Row],['# of courses remaining]])),0)</f>
        <v>-5.6</v>
      </c>
      <c r="T15" s="92">
        <f ca="1">IFERROR((Table311[[#This Row],[Quota per Offering]]*(Table311[[#This Row],[Course Offerings]]-Table311[[#This Row],['# of course completion reports to be processed]]-Table311[[#This Row],['# of courses remaining]])-Table311[[#This Row],[No Shows]])/(Table311[[#This Row],[Quota per Offering]]*(Table311[[#This Row],[Course Offerings]]-Table311[[#This Row],['# of course completion reports to be processed]]-Table311[[#This Row],['# of courses remaining]])),0)</f>
        <v>0.8571428571428571</v>
      </c>
      <c r="U15" s="125">
        <v>30</v>
      </c>
      <c r="V15" s="125">
        <v>86</v>
      </c>
      <c r="W15" s="81">
        <f t="shared" ca="1" si="5"/>
        <v>210</v>
      </c>
      <c r="X15" s="81">
        <f>Table311[[#This Row],[Fleet Quota Need]]-Table311[[#This Row],[Total Grads]]</f>
        <v>475</v>
      </c>
      <c r="Y15" s="63"/>
    </row>
    <row r="16" spans="2:25" ht="15.75">
      <c r="B16" s="93" t="s">
        <v>16</v>
      </c>
      <c r="C16" s="77"/>
      <c r="D16" s="77" t="s">
        <v>50</v>
      </c>
      <c r="E16" s="77">
        <f>COUNTIF(Table2[Course Title],Table311[[#This Row],[Courses - Planned vs Need (Active Courses)]])</f>
        <v>1</v>
      </c>
      <c r="F16" s="77">
        <v>25</v>
      </c>
      <c r="G16" s="77">
        <f>Table311[[#This Row],[Course Offerings]]*Table311[[#This Row],[Quota per Offering]]</f>
        <v>25</v>
      </c>
      <c r="H16" s="77">
        <v>113</v>
      </c>
      <c r="I16" s="77">
        <f t="shared" si="0"/>
        <v>-88</v>
      </c>
      <c r="J16" s="80">
        <f t="shared" si="1"/>
        <v>0.22123893805309736</v>
      </c>
      <c r="K16" s="78">
        <f>SUMIF(Table2[Course Title],Table311[[#This Row],[Courses - Planned vs Need (Active Courses)]],Table2[Graduates])</f>
        <v>0</v>
      </c>
      <c r="L16" s="79">
        <f>SUMIF(Table2[Course Title],Table311[[#This Row],[Courses - Planned vs Need (Active Courses)]],Table2[No Shows])</f>
        <v>0</v>
      </c>
      <c r="M16" s="79">
        <f>SUMIFS(Table2[Quotas],Table2[Course Title],Table311[[#This Row],[Courses - Planned vs Need (Active Courses)]],Table2[Roster Status],0)-SUMIFS(Table2[Graduates],Table2[Course Title],Table311[[#This Row],[Courses - Planned vs Need (Active Courses)]],Table2[Roster Status],0)-SUMIFS(Table2[Fail],Table2[Course Title],Table311[[#This Row],[Courses - Planned vs Need (Active Courses)]],Table2[Roster Status],0)+Table311[[#This Row],[No Shows]]</f>
        <v>25</v>
      </c>
      <c r="N16" s="81">
        <f>ROUNDDOWN(Table311[[#This Row],[To date quotas unused (Open quotas+ no shows)]]/Table311[[#This Row],[Quota per Offering]],0)</f>
        <v>1</v>
      </c>
      <c r="O16" s="79">
        <f t="shared" si="2"/>
        <v>25</v>
      </c>
      <c r="P16" s="81">
        <f>COUNTIFS(Table2[Course Title],Table311[[#This Row],[Courses - Planned vs Need (Active Courses)]],Table2[Roster Status],"1",Table2[Remaining Courses],"0")</f>
        <v>0</v>
      </c>
      <c r="Q16" s="81">
        <f ca="1">COUNTIFS(Table2[Course Title],Table311[[#This Row],[Courses - Planned vs Need (Active Courses)]],Table2[Remaining Courses],"1")</f>
        <v>1</v>
      </c>
      <c r="R16" s="84">
        <f t="shared" si="3"/>
        <v>0</v>
      </c>
      <c r="S16" s="84">
        <f ca="1">IFERROR((Table311[[#This Row],[Quota per Offering]]*(Table311[[#This Row],[Course Offerings]]-Table311[[#This Row],['# of course completion reports to be processed]]-Table311[[#This Row],['# of courses remaining]])-Table311[[#This Row],[To date quotas unused (Open quotas+ no shows)]])/(Table311[[#This Row],[Quota per Offering]]*(Table311[[#This Row],[Course Offerings]]-Table311[[#This Row],['# of course completion reports to be processed]]-Table311[[#This Row],['# of courses remaining]])),0)</f>
        <v>0</v>
      </c>
      <c r="T16" s="92">
        <f ca="1">IFERROR((Table311[[#This Row],[Quota per Offering]]*(Table311[[#This Row],[Course Offerings]]-Table311[[#This Row],['# of course completion reports to be processed]]-Table311[[#This Row],['# of courses remaining]])-Table311[[#This Row],[No Shows]])/(Table311[[#This Row],[Quota per Offering]]*(Table311[[#This Row],[Course Offerings]]-Table311[[#This Row],['# of course completion reports to be processed]]-Table311[[#This Row],['# of courses remaining]])),0)</f>
        <v>0</v>
      </c>
      <c r="U16" s="125">
        <v>0</v>
      </c>
      <c r="V16" s="125">
        <v>25</v>
      </c>
      <c r="W16" s="81">
        <f t="shared" ca="1" si="5"/>
        <v>25</v>
      </c>
      <c r="X16" s="81">
        <f>Table311[[#This Row],[Fleet Quota Need]]-Table311[[#This Row],[Total Grads]]</f>
        <v>113</v>
      </c>
      <c r="Y16" s="63"/>
    </row>
    <row r="17" spans="2:25" ht="15.75">
      <c r="B17" s="106" t="s">
        <v>17</v>
      </c>
      <c r="C17" s="77" t="s">
        <v>53</v>
      </c>
      <c r="D17" s="77" t="s">
        <v>49</v>
      </c>
      <c r="E17" s="77">
        <f>COUNTIF(Table2[Course Title],Table311[[#This Row],[Courses - Planned vs Need (Active Courses)]])</f>
        <v>22</v>
      </c>
      <c r="F17" s="77">
        <v>40</v>
      </c>
      <c r="G17" s="77">
        <f>Table311[[#This Row],[Course Offerings]]*Table311[[#This Row],[Quota per Offering]]</f>
        <v>880</v>
      </c>
      <c r="H17" s="77">
        <v>573</v>
      </c>
      <c r="I17" s="77">
        <f t="shared" si="0"/>
        <v>307</v>
      </c>
      <c r="J17" s="80">
        <f t="shared" si="1"/>
        <v>1.5357766143106457</v>
      </c>
      <c r="K17" s="78">
        <f>SUMIF(Table2[Course Title],Table311[[#This Row],[Courses - Planned vs Need (Active Courses)]],Table2[Graduates])</f>
        <v>246</v>
      </c>
      <c r="L17" s="79">
        <f>SUMIF(Table2[Course Title],Table311[[#This Row],[Courses - Planned vs Need (Active Courses)]],Table2[No Shows])</f>
        <v>12</v>
      </c>
      <c r="M17" s="79">
        <f>SUMIFS(Table2[Quotas],Table2[Course Title],Table311[[#This Row],[Courses - Planned vs Need (Active Courses)]],Table2[Roster Status],0)-SUMIFS(Table2[Graduates],Table2[Course Title],Table311[[#This Row],[Courses - Planned vs Need (Active Courses)]],Table2[Roster Status],0)-SUMIFS(Table2[Fail],Table2[Course Title],Table311[[#This Row],[Courses - Planned vs Need (Active Courses)]],Table2[Roster Status],0)+Table311[[#This Row],[No Shows]]</f>
        <v>594</v>
      </c>
      <c r="N17" s="81">
        <f>ROUNDDOWN(Table311[[#This Row],[To date quotas unused (Open quotas+ no shows)]]/Table311[[#This Row],[Quota per Offering]],0)</f>
        <v>14</v>
      </c>
      <c r="O17" s="79">
        <f t="shared" si="2"/>
        <v>634</v>
      </c>
      <c r="P17" s="81">
        <f>COUNTIFS(Table2[Course Title],Table311[[#This Row],[Courses - Planned vs Need (Active Courses)]],Table2[Roster Status],"1",Table2[Remaining Courses],"0")</f>
        <v>0</v>
      </c>
      <c r="Q17" s="81">
        <f ca="1">COUNTIFS(Table2[Course Title],Table311[[#This Row],[Courses - Planned vs Need (Active Courses)]],Table2[Remaining Courses],"1")</f>
        <v>11</v>
      </c>
      <c r="R17" s="84">
        <f t="shared" si="3"/>
        <v>0.4293193717277487</v>
      </c>
      <c r="S17" s="84">
        <f ca="1">IFERROR((Table311[[#This Row],[Quota per Offering]]*(Table311[[#This Row],[Course Offerings]]-Table311[[#This Row],['# of course completion reports to be processed]]-Table311[[#This Row],['# of courses remaining]])-Table311[[#This Row],[To date quotas unused (Open quotas+ no shows)]])/(Table311[[#This Row],[Quota per Offering]]*(Table311[[#This Row],[Course Offerings]]-Table311[[#This Row],['# of course completion reports to be processed]]-Table311[[#This Row],['# of courses remaining]])),0)</f>
        <v>-0.35</v>
      </c>
      <c r="T17" s="92">
        <f ca="1">IFERROR((Table311[[#This Row],[Quota per Offering]]*(Table311[[#This Row],[Course Offerings]]-Table311[[#This Row],['# of course completion reports to be processed]]-Table311[[#This Row],['# of courses remaining]])-Table311[[#This Row],[No Shows]])/(Table311[[#This Row],[Quota per Offering]]*(Table311[[#This Row],[Course Offerings]]-Table311[[#This Row],['# of course completion reports to be processed]]-Table311[[#This Row],['# of courses remaining]])),0)</f>
        <v>0.97272727272727277</v>
      </c>
      <c r="U17" s="126">
        <v>144</v>
      </c>
      <c r="V17" s="126">
        <v>160</v>
      </c>
      <c r="W17" s="81">
        <f t="shared" ca="1" si="5"/>
        <v>440</v>
      </c>
      <c r="X17" s="81">
        <f>Table311[[#This Row],[Fleet Quota Need]]-Table311[[#This Row],[Total Grads]]</f>
        <v>327</v>
      </c>
      <c r="Y17" s="63"/>
    </row>
    <row r="18" spans="2:25" ht="31.5">
      <c r="B18" s="106" t="s">
        <v>18</v>
      </c>
      <c r="C18" s="77" t="s">
        <v>53</v>
      </c>
      <c r="D18" s="77" t="s">
        <v>49</v>
      </c>
      <c r="E18" s="77">
        <f>COUNTIF(Table2[Course Title],Table311[[#This Row],[Courses - Planned vs Need (Active Courses)]])</f>
        <v>23</v>
      </c>
      <c r="F18" s="77">
        <v>40</v>
      </c>
      <c r="G18" s="77">
        <f>Table311[[#This Row],[Course Offerings]]*Table311[[#This Row],[Quota per Offering]]</f>
        <v>920</v>
      </c>
      <c r="H18" s="77">
        <v>473</v>
      </c>
      <c r="I18" s="77">
        <f t="shared" si="0"/>
        <v>447</v>
      </c>
      <c r="J18" s="80">
        <f t="shared" si="1"/>
        <v>1.945031712473573</v>
      </c>
      <c r="K18" s="78">
        <f>SUMIF(Table2[Course Title],Table311[[#This Row],[Courses - Planned vs Need (Active Courses)]],Table2[Graduates])</f>
        <v>116</v>
      </c>
      <c r="L18" s="79">
        <f>SUMIF(Table2[Course Title],Table311[[#This Row],[Courses - Planned vs Need (Active Courses)]],Table2[No Shows])</f>
        <v>6</v>
      </c>
      <c r="M18" s="79">
        <f>SUMIFS(Table2[Quotas],Table2[Course Title],Table311[[#This Row],[Courses - Planned vs Need (Active Courses)]],Table2[Roster Status],0)-SUMIFS(Table2[Graduates],Table2[Course Title],Table311[[#This Row],[Courses - Planned vs Need (Active Courses)]],Table2[Roster Status],0)-SUMIFS(Table2[Fail],Table2[Course Title],Table311[[#This Row],[Courses - Planned vs Need (Active Courses)]],Table2[Roster Status],0)+Table311[[#This Row],[No Shows]]</f>
        <v>810</v>
      </c>
      <c r="N18" s="81">
        <f>ROUNDDOWN(Table311[[#This Row],[To date quotas unused (Open quotas+ no shows)]]/Table311[[#This Row],[Quota per Offering]],0)</f>
        <v>20</v>
      </c>
      <c r="O18" s="79">
        <f t="shared" si="2"/>
        <v>804</v>
      </c>
      <c r="P18" s="81">
        <f>COUNTIFS(Table2[Course Title],Table311[[#This Row],[Courses - Planned vs Need (Active Courses)]],Table2[Roster Status],"1",Table2[Remaining Courses],"0")</f>
        <v>0</v>
      </c>
      <c r="Q18" s="81">
        <f ca="1">COUNTIFS(Table2[Course Title],Table311[[#This Row],[Courses - Planned vs Need (Active Courses)]],Table2[Remaining Courses],"1")</f>
        <v>17</v>
      </c>
      <c r="R18" s="84">
        <f t="shared" si="3"/>
        <v>0.2452431289640592</v>
      </c>
      <c r="S18" s="84">
        <f ca="1">IFERROR((Table311[[#This Row],[Quota per Offering]]*(Table311[[#This Row],[Course Offerings]]-Table311[[#This Row],['# of course completion reports to be processed]]-Table311[[#This Row],['# of courses remaining]])-Table311[[#This Row],[To date quotas unused (Open quotas+ no shows)]])/(Table311[[#This Row],[Quota per Offering]]*(Table311[[#This Row],[Course Offerings]]-Table311[[#This Row],['# of course completion reports to be processed]]-Table311[[#This Row],['# of courses remaining]])),0)</f>
        <v>-2.375</v>
      </c>
      <c r="T18" s="92">
        <f ca="1">IFERROR((Table311[[#This Row],[Quota per Offering]]*(Table311[[#This Row],[Course Offerings]]-Table311[[#This Row],['# of course completion reports to be processed]]-Table311[[#This Row],['# of courses remaining]])-Table311[[#This Row],[No Shows]])/(Table311[[#This Row],[Quota per Offering]]*(Table311[[#This Row],[Course Offerings]]-Table311[[#This Row],['# of course completion reports to be processed]]-Table311[[#This Row],['# of courses remaining]])),0)</f>
        <v>0.97499999999999998</v>
      </c>
      <c r="U18" s="126">
        <v>197</v>
      </c>
      <c r="V18" s="126">
        <v>480</v>
      </c>
      <c r="W18" s="81">
        <f t="shared" ca="1" si="5"/>
        <v>680</v>
      </c>
      <c r="X18" s="81">
        <f>Table311[[#This Row],[Fleet Quota Need]]-Table311[[#This Row],[Total Grads]]</f>
        <v>357</v>
      </c>
      <c r="Y18" s="63"/>
    </row>
    <row r="19" spans="2:25" ht="31.5">
      <c r="B19" s="93" t="s">
        <v>19</v>
      </c>
      <c r="C19" s="77"/>
      <c r="D19" s="77" t="s">
        <v>54</v>
      </c>
      <c r="E19" s="77">
        <f>COUNTIF(Table2[Course Title],Table311[[#This Row],[Courses - Planned vs Need (Active Courses)]])</f>
        <v>20</v>
      </c>
      <c r="F19" s="77">
        <v>45</v>
      </c>
      <c r="G19" s="77">
        <f>Table311[[#This Row],[Course Offerings]]*Table311[[#This Row],[Quota per Offering]]</f>
        <v>900</v>
      </c>
      <c r="H19" s="77">
        <v>851</v>
      </c>
      <c r="I19" s="77">
        <f t="shared" si="0"/>
        <v>49</v>
      </c>
      <c r="J19" s="80">
        <f t="shared" si="1"/>
        <v>1.0575793184488838</v>
      </c>
      <c r="K19" s="78">
        <f>SUMIF(Table2[Course Title],Table311[[#This Row],[Courses - Planned vs Need (Active Courses)]],Table2[Graduates])</f>
        <v>346</v>
      </c>
      <c r="L19" s="79">
        <f>SUMIF(Table2[Course Title],Table311[[#This Row],[Courses - Planned vs Need (Active Courses)]],Table2[No Shows])</f>
        <v>63</v>
      </c>
      <c r="M19" s="79">
        <f>SUMIFS(Table2[Quotas],Table2[Course Title],Table311[[#This Row],[Courses - Planned vs Need (Active Courses)]],Table2[Roster Status],0)-SUMIFS(Table2[Graduates],Table2[Course Title],Table311[[#This Row],[Courses - Planned vs Need (Active Courses)]],Table2[Roster Status],0)-SUMIFS(Table2[Fail],Table2[Course Title],Table311[[#This Row],[Courses - Planned vs Need (Active Courses)]],Table2[Roster Status],0)+Table311[[#This Row],[No Shows]]</f>
        <v>615</v>
      </c>
      <c r="N19" s="81">
        <f>ROUNDDOWN(Table311[[#This Row],[To date quotas unused (Open quotas+ no shows)]]/Table311[[#This Row],[Quota per Offering]],0)</f>
        <v>13</v>
      </c>
      <c r="O19" s="79">
        <f t="shared" si="2"/>
        <v>554</v>
      </c>
      <c r="P19" s="81">
        <f>COUNTIFS(Table2[Course Title],Table311[[#This Row],[Courses - Planned vs Need (Active Courses)]],Table2[Roster Status],"1",Table2[Remaining Courses],"0")</f>
        <v>0</v>
      </c>
      <c r="Q19" s="81">
        <f ca="1">COUNTIFS(Table2[Course Title],Table311[[#This Row],[Courses - Planned vs Need (Active Courses)]],Table2[Remaining Courses],"1")</f>
        <v>9</v>
      </c>
      <c r="R19" s="84">
        <f t="shared" si="3"/>
        <v>0.40658049353701525</v>
      </c>
      <c r="S19" s="84">
        <f ca="1">IFERROR((Table311[[#This Row],[Quota per Offering]]*(Table311[[#This Row],[Course Offerings]]-Table311[[#This Row],['# of course completion reports to be processed]]-Table311[[#This Row],['# of courses remaining]])-Table311[[#This Row],[To date quotas unused (Open quotas+ no shows)]])/(Table311[[#This Row],[Quota per Offering]]*(Table311[[#This Row],[Course Offerings]]-Table311[[#This Row],['# of course completion reports to be processed]]-Table311[[#This Row],['# of courses remaining]])),0)</f>
        <v>-0.24242424242424243</v>
      </c>
      <c r="T19" s="92">
        <f ca="1">IFERROR((Table311[[#This Row],[Quota per Offering]]*(Table311[[#This Row],[Course Offerings]]-Table311[[#This Row],['# of course completion reports to be processed]]-Table311[[#This Row],['# of courses remaining]])-Table311[[#This Row],[No Shows]])/(Table311[[#This Row],[Quota per Offering]]*(Table311[[#This Row],[Course Offerings]]-Table311[[#This Row],['# of course completion reports to be processed]]-Table311[[#This Row],['# of courses remaining]])),0)</f>
        <v>0.87272727272727268</v>
      </c>
      <c r="U19" s="126">
        <v>160</v>
      </c>
      <c r="V19" s="126">
        <v>174</v>
      </c>
      <c r="W19" s="81">
        <f t="shared" ca="1" si="5"/>
        <v>405</v>
      </c>
      <c r="X19" s="81">
        <f>Table311[[#This Row],[Fleet Quota Need]]-Table311[[#This Row],[Total Grads]]</f>
        <v>505</v>
      </c>
      <c r="Y19" s="63"/>
    </row>
    <row r="20" spans="2:25" ht="15.75">
      <c r="B20" s="106" t="s">
        <v>20</v>
      </c>
      <c r="C20" s="77" t="s">
        <v>53</v>
      </c>
      <c r="D20" s="77" t="s">
        <v>54</v>
      </c>
      <c r="E20" s="77">
        <f>COUNTIF(Table2[Course Title],Table311[[#This Row],[Courses - Planned vs Need (Active Courses)]])</f>
        <v>11</v>
      </c>
      <c r="F20" s="77">
        <v>30</v>
      </c>
      <c r="G20" s="77">
        <f>Table311[[#This Row],[Course Offerings]]*Table311[[#This Row],[Quota per Offering]]</f>
        <v>330</v>
      </c>
      <c r="H20" s="77">
        <v>939</v>
      </c>
      <c r="I20" s="77">
        <f t="shared" si="0"/>
        <v>-609</v>
      </c>
      <c r="J20" s="80">
        <f t="shared" si="1"/>
        <v>0.3514376996805112</v>
      </c>
      <c r="K20" s="78">
        <f>SUMIF(Table2[Course Title],Table311[[#This Row],[Courses - Planned vs Need (Active Courses)]],Table2[Graduates])</f>
        <v>65</v>
      </c>
      <c r="L20" s="79">
        <f>SUMIF(Table2[Course Title],Table311[[#This Row],[Courses - Planned vs Need (Active Courses)]],Table2[No Shows])</f>
        <v>18</v>
      </c>
      <c r="M20" s="79">
        <f>SUMIFS(Table2[Quotas],Table2[Course Title],Table311[[#This Row],[Courses - Planned vs Need (Active Courses)]],Table2[Roster Status],0)-SUMIFS(Table2[Graduates],Table2[Course Title],Table311[[#This Row],[Courses - Planned vs Need (Active Courses)]],Table2[Roster Status],0)-SUMIFS(Table2[Fail],Table2[Course Title],Table311[[#This Row],[Courses - Planned vs Need (Active Courses)]],Table2[Roster Status],0)+Table311[[#This Row],[No Shows]]</f>
        <v>283</v>
      </c>
      <c r="N20" s="81">
        <f>ROUNDDOWN(Table311[[#This Row],[To date quotas unused (Open quotas+ no shows)]]/Table311[[#This Row],[Quota per Offering]],0)</f>
        <v>9</v>
      </c>
      <c r="O20" s="79">
        <f t="shared" si="2"/>
        <v>265</v>
      </c>
      <c r="P20" s="81">
        <f>COUNTIFS(Table2[Course Title],Table311[[#This Row],[Courses - Planned vs Need (Active Courses)]],Table2[Roster Status],"1",Table2[Remaining Courses],"0")</f>
        <v>0</v>
      </c>
      <c r="Q20" s="81">
        <f ca="1">COUNTIFS(Table2[Course Title],Table311[[#This Row],[Courses - Planned vs Need (Active Courses)]],Table2[Remaining Courses],"1")</f>
        <v>6</v>
      </c>
      <c r="R20" s="84">
        <f t="shared" si="3"/>
        <v>6.9222577209797659E-2</v>
      </c>
      <c r="S20" s="84">
        <f ca="1">IFERROR((Table311[[#This Row],[Quota per Offering]]*(Table311[[#This Row],[Course Offerings]]-Table311[[#This Row],['# of course completion reports to be processed]]-Table311[[#This Row],['# of courses remaining]])-Table311[[#This Row],[To date quotas unused (Open quotas+ no shows)]])/(Table311[[#This Row],[Quota per Offering]]*(Table311[[#This Row],[Course Offerings]]-Table311[[#This Row],['# of course completion reports to be processed]]-Table311[[#This Row],['# of courses remaining]])),0)</f>
        <v>-0.88666666666666671</v>
      </c>
      <c r="T20" s="92">
        <f ca="1">IFERROR((Table311[[#This Row],[Quota per Offering]]*(Table311[[#This Row],[Course Offerings]]-Table311[[#This Row],['# of course completion reports to be processed]]-Table311[[#This Row],['# of courses remaining]])-Table311[[#This Row],[No Shows]])/(Table311[[#This Row],[Quota per Offering]]*(Table311[[#This Row],[Course Offerings]]-Table311[[#This Row],['# of course completion reports to be processed]]-Table311[[#This Row],['# of courses remaining]])),0)</f>
        <v>0.88</v>
      </c>
      <c r="U20" s="125">
        <v>26</v>
      </c>
      <c r="V20" s="125">
        <v>94</v>
      </c>
      <c r="W20" s="81">
        <f t="shared" ca="1" si="5"/>
        <v>180</v>
      </c>
      <c r="X20" s="81">
        <f>Table311[[#This Row],[Fleet Quota Need]]-Table311[[#This Row],[Total Grads]]</f>
        <v>874</v>
      </c>
      <c r="Y20" s="63"/>
    </row>
    <row r="21" spans="2:25" ht="31.5">
      <c r="B21" s="93" t="s">
        <v>242</v>
      </c>
      <c r="C21" s="77"/>
      <c r="D21" s="77" t="s">
        <v>54</v>
      </c>
      <c r="E21" s="77">
        <f>COUNTIF(Table2[Course Title],Table311[[#This Row],[Courses - Planned vs Need (Active Courses)]])</f>
        <v>17</v>
      </c>
      <c r="F21" s="77">
        <v>45</v>
      </c>
      <c r="G21" s="77">
        <f>Table311[[#This Row],[Course Offerings]]*Table311[[#This Row],[Quota per Offering]]</f>
        <v>765</v>
      </c>
      <c r="H21" s="77">
        <v>762</v>
      </c>
      <c r="I21" s="77">
        <f t="shared" si="0"/>
        <v>3</v>
      </c>
      <c r="J21" s="80">
        <f t="shared" si="1"/>
        <v>1.0039370078740157</v>
      </c>
      <c r="K21" s="78">
        <f>SUMIF(Table2[Course Title],Table311[[#This Row],[Courses - Planned vs Need (Active Courses)]],Table2[Graduates])</f>
        <v>237</v>
      </c>
      <c r="L21" s="79">
        <f>SUMIF(Table2[Course Title],Table311[[#This Row],[Courses - Planned vs Need (Active Courses)]],Table2[No Shows])</f>
        <v>35</v>
      </c>
      <c r="M21" s="79">
        <f>SUMIFS(Table2[Quotas],Table2[Course Title],Table311[[#This Row],[Courses - Planned vs Need (Active Courses)]],Table2[Roster Status],0)-SUMIFS(Table2[Graduates],Table2[Course Title],Table311[[#This Row],[Courses - Planned vs Need (Active Courses)]],Table2[Roster Status],0)-SUMIFS(Table2[Fail],Table2[Course Title],Table311[[#This Row],[Courses - Planned vs Need (Active Courses)]],Table2[Roster Status],0)+Table311[[#This Row],[No Shows]]</f>
        <v>561</v>
      </c>
      <c r="N21" s="81">
        <f>ROUNDDOWN(Table311[[#This Row],[To date quotas unused (Open quotas+ no shows)]]/Table311[[#This Row],[Quota per Offering]],0)</f>
        <v>12</v>
      </c>
      <c r="O21" s="79">
        <f t="shared" si="2"/>
        <v>528</v>
      </c>
      <c r="P21" s="81">
        <f>COUNTIFS(Table2[Course Title],Table311[[#This Row],[Courses - Planned vs Need (Active Courses)]],Table2[Roster Status],"1",Table2[Remaining Courses],"0")</f>
        <v>0</v>
      </c>
      <c r="Q21" s="81">
        <f ca="1">COUNTIFS(Table2[Course Title],Table311[[#This Row],[Courses - Planned vs Need (Active Courses)]],Table2[Remaining Courses],"1")</f>
        <v>8</v>
      </c>
      <c r="R21" s="84">
        <f t="shared" si="3"/>
        <v>0.3110236220472441</v>
      </c>
      <c r="S21" s="84">
        <f ca="1">IFERROR((Table311[[#This Row],[Quota per Offering]]*(Table311[[#This Row],[Course Offerings]]-Table311[[#This Row],['# of course completion reports to be processed]]-Table311[[#This Row],['# of courses remaining]])-Table311[[#This Row],[To date quotas unused (Open quotas+ no shows)]])/(Table311[[#This Row],[Quota per Offering]]*(Table311[[#This Row],[Course Offerings]]-Table311[[#This Row],['# of course completion reports to be processed]]-Table311[[#This Row],['# of courses remaining]])),0)</f>
        <v>-0.38518518518518519</v>
      </c>
      <c r="T21" s="92">
        <f ca="1">IFERROR((Table311[[#This Row],[Quota per Offering]]*(Table311[[#This Row],[Course Offerings]]-Table311[[#This Row],['# of course completion reports to be processed]]-Table311[[#This Row],['# of courses remaining]])-Table311[[#This Row],[No Shows]])/(Table311[[#This Row],[Quota per Offering]]*(Table311[[#This Row],[Course Offerings]]-Table311[[#This Row],['# of course completion reports to be processed]]-Table311[[#This Row],['# of courses remaining]])),0)</f>
        <v>0.9135802469135802</v>
      </c>
      <c r="U21" s="125">
        <v>79</v>
      </c>
      <c r="V21" s="125">
        <v>205</v>
      </c>
      <c r="W21" s="81">
        <f t="shared" ca="1" si="5"/>
        <v>360</v>
      </c>
      <c r="X21" s="81">
        <f>Table311[[#This Row],[Fleet Quota Need]]-Table311[[#This Row],[Total Grads]]</f>
        <v>525</v>
      </c>
      <c r="Y21" s="63"/>
    </row>
    <row r="22" spans="2:25" ht="47.25">
      <c r="B22" s="93" t="s">
        <v>248</v>
      </c>
      <c r="C22" s="77"/>
      <c r="D22" s="77" t="s">
        <v>51</v>
      </c>
      <c r="E22" s="77">
        <f>COUNTIF(Table2[Course Title],Table311[[#This Row],[Courses - Planned vs Need (Active Courses)]])</f>
        <v>18</v>
      </c>
      <c r="F22" s="77">
        <v>45</v>
      </c>
      <c r="G22" s="77">
        <f>Table311[[#This Row],[Course Offerings]]*Table311[[#This Row],[Quota per Offering]]</f>
        <v>810</v>
      </c>
      <c r="H22" s="77">
        <v>800</v>
      </c>
      <c r="I22" s="77">
        <f t="shared" si="0"/>
        <v>10</v>
      </c>
      <c r="J22" s="80">
        <f t="shared" si="1"/>
        <v>1.0125</v>
      </c>
      <c r="K22" s="78">
        <f>SUMIF(Table2[Course Title],Table311[[#This Row],[Courses - Planned vs Need (Active Courses)]],Table2[Graduates])</f>
        <v>306</v>
      </c>
      <c r="L22" s="79">
        <f>SUMIF(Table2[Course Title],Table311[[#This Row],[Courses - Planned vs Need (Active Courses)]],Table2[No Shows])</f>
        <v>59</v>
      </c>
      <c r="M22" s="79">
        <f>SUMIFS(Table2[Quotas],Table2[Course Title],Table311[[#This Row],[Courses - Planned vs Need (Active Courses)]],Table2[Roster Status],0)-SUMIFS(Table2[Graduates],Table2[Course Title],Table311[[#This Row],[Courses - Planned vs Need (Active Courses)]],Table2[Roster Status],0)-SUMIFS(Table2[Fail],Table2[Course Title],Table311[[#This Row],[Courses - Planned vs Need (Active Courses)]],Table2[Roster Status],0)+Table311[[#This Row],[No Shows]]</f>
        <v>552</v>
      </c>
      <c r="N22" s="81">
        <f>ROUNDDOWN(Table311[[#This Row],[To date quotas unused (Open quotas+ no shows)]]/Table311[[#This Row],[Quota per Offering]],0)</f>
        <v>12</v>
      </c>
      <c r="O22" s="79">
        <f t="shared" si="2"/>
        <v>504</v>
      </c>
      <c r="P22" s="81">
        <f>COUNTIFS(Table2[Course Title],Table311[[#This Row],[Courses - Planned vs Need (Active Courses)]],Table2[Roster Status],"1",Table2[Remaining Courses],"0")</f>
        <v>0</v>
      </c>
      <c r="Q22" s="81">
        <f ca="1">COUNTIFS(Table2[Course Title],Table311[[#This Row],[Courses - Planned vs Need (Active Courses)]],Table2[Remaining Courses],"1")</f>
        <v>9</v>
      </c>
      <c r="R22" s="84">
        <f t="shared" si="3"/>
        <v>0.38250000000000001</v>
      </c>
      <c r="S22" s="84">
        <f ca="1">IFERROR((Table311[[#This Row],[Quota per Offering]]*(Table311[[#This Row],[Course Offerings]]-Table311[[#This Row],['# of course completion reports to be processed]]-Table311[[#This Row],['# of courses remaining]])-Table311[[#This Row],[To date quotas unused (Open quotas+ no shows)]])/(Table311[[#This Row],[Quota per Offering]]*(Table311[[#This Row],[Course Offerings]]-Table311[[#This Row],['# of course completion reports to be processed]]-Table311[[#This Row],['# of courses remaining]])),0)</f>
        <v>-0.36296296296296299</v>
      </c>
      <c r="T22" s="92">
        <f ca="1">IFERROR((Table311[[#This Row],[Quota per Offering]]*(Table311[[#This Row],[Course Offerings]]-Table311[[#This Row],['# of course completion reports to be processed]]-Table311[[#This Row],['# of courses remaining]])-Table311[[#This Row],[No Shows]])/(Table311[[#This Row],[Quota per Offering]]*(Table311[[#This Row],[Course Offerings]]-Table311[[#This Row],['# of course completion reports to be processed]]-Table311[[#This Row],['# of courses remaining]])),0)</f>
        <v>0.85432098765432096</v>
      </c>
      <c r="U22" s="126">
        <v>0</v>
      </c>
      <c r="V22" s="126">
        <v>220</v>
      </c>
      <c r="W22" s="81">
        <f t="shared" ca="1" si="5"/>
        <v>405</v>
      </c>
      <c r="X22" s="81">
        <f>Table311[[#This Row],[Fleet Quota Need]]-Table311[[#This Row],[Total Grads]]</f>
        <v>494</v>
      </c>
      <c r="Y22" s="63"/>
    </row>
    <row r="23" spans="2:25" ht="31.5">
      <c r="B23" s="106" t="s">
        <v>23</v>
      </c>
      <c r="C23" s="77" t="s">
        <v>53</v>
      </c>
      <c r="D23" s="77" t="s">
        <v>49</v>
      </c>
      <c r="E23" s="77">
        <f>COUNTIF(Table2[Course Title],Table311[[#This Row],[Courses - Planned vs Need (Active Courses)]])</f>
        <v>9</v>
      </c>
      <c r="F23" s="77">
        <v>25</v>
      </c>
      <c r="G23" s="77">
        <f>Table311[[#This Row],[Course Offerings]]*Table311[[#This Row],[Quota per Offering]]</f>
        <v>225</v>
      </c>
      <c r="H23" s="77">
        <v>1359</v>
      </c>
      <c r="I23" s="77">
        <f t="shared" si="0"/>
        <v>-1134</v>
      </c>
      <c r="J23" s="80">
        <f t="shared" si="1"/>
        <v>0.16556291390728478</v>
      </c>
      <c r="K23" s="78">
        <f>SUMIF(Table2[Course Title],Table311[[#This Row],[Courses - Planned vs Need (Active Courses)]],Table2[Graduates])</f>
        <v>50</v>
      </c>
      <c r="L23" s="79">
        <f>SUMIF(Table2[Course Title],Table311[[#This Row],[Courses - Planned vs Need (Active Courses)]],Table2[No Shows])</f>
        <v>13</v>
      </c>
      <c r="M23" s="79">
        <f>SUMIFS(Table2[Quotas],Table2[Course Title],Table311[[#This Row],[Courses - Planned vs Need (Active Courses)]],Table2[Roster Status],0)-SUMIFS(Table2[Graduates],Table2[Course Title],Table311[[#This Row],[Courses - Planned vs Need (Active Courses)]],Table2[Roster Status],0)-SUMIFS(Table2[Fail],Table2[Course Title],Table311[[#This Row],[Courses - Planned vs Need (Active Courses)]],Table2[Roster Status],0)+Table311[[#This Row],[No Shows]]</f>
        <v>187</v>
      </c>
      <c r="N23" s="81">
        <f>ROUNDDOWN(Table311[[#This Row],[To date quotas unused (Open quotas+ no shows)]]/Table311[[#This Row],[Quota per Offering]],0)</f>
        <v>7</v>
      </c>
      <c r="O23" s="79">
        <f t="shared" si="2"/>
        <v>175</v>
      </c>
      <c r="P23" s="81">
        <f>COUNTIFS(Table2[Course Title],Table311[[#This Row],[Courses - Planned vs Need (Active Courses)]],Table2[Roster Status],"1",Table2[Remaining Courses],"0")</f>
        <v>0</v>
      </c>
      <c r="Q23" s="81">
        <f ca="1">COUNTIFS(Table2[Course Title],Table311[[#This Row],[Courses - Planned vs Need (Active Courses)]],Table2[Remaining Courses],"1")</f>
        <v>5</v>
      </c>
      <c r="R23" s="84">
        <f t="shared" si="3"/>
        <v>3.679175864606328E-2</v>
      </c>
      <c r="S23" s="84">
        <f ca="1">IFERROR((Table311[[#This Row],[Quota per Offering]]*(Table311[[#This Row],[Course Offerings]]-Table311[[#This Row],['# of course completion reports to be processed]]-Table311[[#This Row],['# of courses remaining]])-Table311[[#This Row],[To date quotas unused (Open quotas+ no shows)]])/(Table311[[#This Row],[Quota per Offering]]*(Table311[[#This Row],[Course Offerings]]-Table311[[#This Row],['# of course completion reports to be processed]]-Table311[[#This Row],['# of courses remaining]])),0)</f>
        <v>-0.87</v>
      </c>
      <c r="T23" s="92">
        <f ca="1">IFERROR((Table311[[#This Row],[Quota per Offering]]*(Table311[[#This Row],[Course Offerings]]-Table311[[#This Row],['# of course completion reports to be processed]]-Table311[[#This Row],['# of courses remaining]])-Table311[[#This Row],[No Shows]])/(Table311[[#This Row],[Quota per Offering]]*(Table311[[#This Row],[Course Offerings]]-Table311[[#This Row],['# of course completion reports to be processed]]-Table311[[#This Row],['# of courses remaining]])),0)</f>
        <v>0.87</v>
      </c>
      <c r="U23" s="125">
        <v>7</v>
      </c>
      <c r="V23" s="125">
        <v>76</v>
      </c>
      <c r="W23" s="81">
        <f t="shared" ca="1" si="5"/>
        <v>125</v>
      </c>
      <c r="X23" s="81">
        <f>Table311[[#This Row],[Fleet Quota Need]]-Table311[[#This Row],[Total Grads]]</f>
        <v>1309</v>
      </c>
      <c r="Y23" s="63"/>
    </row>
    <row r="24" spans="2:25" ht="47.25">
      <c r="B24" s="106" t="s">
        <v>24</v>
      </c>
      <c r="C24" s="77" t="s">
        <v>53</v>
      </c>
      <c r="D24" s="77" t="s">
        <v>49</v>
      </c>
      <c r="E24" s="77">
        <f>COUNTIF(Table2[Course Title],Table311[[#This Row],[Courses - Planned vs Need (Active Courses)]])</f>
        <v>19</v>
      </c>
      <c r="F24" s="77">
        <v>30</v>
      </c>
      <c r="G24" s="77">
        <f>Table311[[#This Row],[Course Offerings]]*Table311[[#This Row],[Quota per Offering]]</f>
        <v>570</v>
      </c>
      <c r="H24" s="77">
        <v>1595</v>
      </c>
      <c r="I24" s="77">
        <f t="shared" si="0"/>
        <v>-1025</v>
      </c>
      <c r="J24" s="80">
        <f t="shared" si="1"/>
        <v>0.35736677115987459</v>
      </c>
      <c r="K24" s="78">
        <f>SUMIF(Table2[Course Title],Table311[[#This Row],[Courses - Planned vs Need (Active Courses)]],Table2[Graduates])</f>
        <v>150</v>
      </c>
      <c r="L24" s="79">
        <f>SUMIF(Table2[Course Title],Table311[[#This Row],[Courses - Planned vs Need (Active Courses)]],Table2[No Shows])</f>
        <v>12</v>
      </c>
      <c r="M24" s="79">
        <f>SUMIFS(Table2[Quotas],Table2[Course Title],Table311[[#This Row],[Courses - Planned vs Need (Active Courses)]],Table2[Roster Status],0)-SUMIFS(Table2[Graduates],Table2[Course Title],Table311[[#This Row],[Courses - Planned vs Need (Active Courses)]],Table2[Roster Status],0)-SUMIFS(Table2[Fail],Table2[Course Title],Table311[[#This Row],[Courses - Planned vs Need (Active Courses)]],Table2[Roster Status],0)+Table311[[#This Row],[No Shows]]</f>
        <v>432</v>
      </c>
      <c r="N24" s="81">
        <f>ROUNDDOWN(Table311[[#This Row],[To date quotas unused (Open quotas+ no shows)]]/Table311[[#This Row],[Quota per Offering]],0)</f>
        <v>14</v>
      </c>
      <c r="O24" s="79">
        <f t="shared" si="2"/>
        <v>420</v>
      </c>
      <c r="P24" s="81">
        <f>COUNTIFS(Table2[Course Title],Table311[[#This Row],[Courses - Planned vs Need (Active Courses)]],Table2[Roster Status],"1",Table2[Remaining Courses],"0")</f>
        <v>0</v>
      </c>
      <c r="Q24" s="81">
        <f ca="1">COUNTIFS(Table2[Course Title],Table311[[#This Row],[Courses - Planned vs Need (Active Courses)]],Table2[Remaining Courses],"1")</f>
        <v>10</v>
      </c>
      <c r="R24" s="84">
        <f t="shared" si="3"/>
        <v>9.4043887147335428E-2</v>
      </c>
      <c r="S24" s="84">
        <f ca="1">IFERROR((Table311[[#This Row],[Quota per Offering]]*(Table311[[#This Row],[Course Offerings]]-Table311[[#This Row],['# of course completion reports to be processed]]-Table311[[#This Row],['# of courses remaining]])-Table311[[#This Row],[To date quotas unused (Open quotas+ no shows)]])/(Table311[[#This Row],[Quota per Offering]]*(Table311[[#This Row],[Course Offerings]]-Table311[[#This Row],['# of course completion reports to be processed]]-Table311[[#This Row],['# of courses remaining]])),0)</f>
        <v>-0.6</v>
      </c>
      <c r="T24" s="92">
        <f ca="1">IFERROR((Table311[[#This Row],[Quota per Offering]]*(Table311[[#This Row],[Course Offerings]]-Table311[[#This Row],['# of course completion reports to be processed]]-Table311[[#This Row],['# of courses remaining]])-Table311[[#This Row],[No Shows]])/(Table311[[#This Row],[Quota per Offering]]*(Table311[[#This Row],[Course Offerings]]-Table311[[#This Row],['# of course completion reports to be processed]]-Table311[[#This Row],['# of courses remaining]])),0)</f>
        <v>0.9555555555555556</v>
      </c>
      <c r="U24" s="126">
        <v>4</v>
      </c>
      <c r="V24" s="126">
        <v>158</v>
      </c>
      <c r="W24" s="81">
        <f t="shared" ca="1" si="5"/>
        <v>300</v>
      </c>
      <c r="X24" s="81">
        <f>Table311[[#This Row],[Fleet Quota Need]]-Table311[[#This Row],[Total Grads]]</f>
        <v>1445</v>
      </c>
      <c r="Y24" s="63"/>
    </row>
    <row r="25" spans="2:25" ht="31.5">
      <c r="B25" s="106" t="s">
        <v>25</v>
      </c>
      <c r="C25" s="77" t="s">
        <v>53</v>
      </c>
      <c r="D25" s="77" t="s">
        <v>49</v>
      </c>
      <c r="E25" s="77">
        <f>COUNTIF(Table2[Course Title],Table311[[#This Row],[Courses - Planned vs Need (Active Courses)]])</f>
        <v>7</v>
      </c>
      <c r="F25" s="77">
        <v>30</v>
      </c>
      <c r="G25" s="77">
        <f>Table311[[#This Row],[Course Offerings]]*Table311[[#This Row],[Quota per Offering]]</f>
        <v>210</v>
      </c>
      <c r="H25" s="77">
        <v>958</v>
      </c>
      <c r="I25" s="77">
        <f t="shared" si="0"/>
        <v>-748</v>
      </c>
      <c r="J25" s="80">
        <f t="shared" si="1"/>
        <v>0.21920668058455114</v>
      </c>
      <c r="K25" s="78">
        <f>SUMIF(Table2[Course Title],Table311[[#This Row],[Courses - Planned vs Need (Active Courses)]],Table2[Graduates])</f>
        <v>82</v>
      </c>
      <c r="L25" s="79">
        <f>SUMIF(Table2[Course Title],Table311[[#This Row],[Courses - Planned vs Need (Active Courses)]],Table2[No Shows])</f>
        <v>19</v>
      </c>
      <c r="M25" s="79">
        <f>SUMIFS(Table2[Quotas],Table2[Course Title],Table311[[#This Row],[Courses - Planned vs Need (Active Courses)]],Table2[Roster Status],0)-SUMIFS(Table2[Graduates],Table2[Course Title],Table311[[#This Row],[Courses - Planned vs Need (Active Courses)]],Table2[Roster Status],0)-SUMIFS(Table2[Fail],Table2[Course Title],Table311[[#This Row],[Courses - Planned vs Need (Active Courses)]],Table2[Roster Status],0)+Table311[[#This Row],[No Shows]]</f>
        <v>147</v>
      </c>
      <c r="N25" s="81">
        <f>ROUNDDOWN(Table311[[#This Row],[To date quotas unused (Open quotas+ no shows)]]/Table311[[#This Row],[Quota per Offering]],0)</f>
        <v>4</v>
      </c>
      <c r="O25" s="79">
        <f t="shared" si="2"/>
        <v>128</v>
      </c>
      <c r="P25" s="81">
        <f>COUNTIFS(Table2[Course Title],Table311[[#This Row],[Courses - Planned vs Need (Active Courses)]],Table2[Roster Status],"1",Table2[Remaining Courses],"0")</f>
        <v>0</v>
      </c>
      <c r="Q25" s="81">
        <f ca="1">COUNTIFS(Table2[Course Title],Table311[[#This Row],[Courses - Planned vs Need (Active Courses)]],Table2[Remaining Courses],"1")</f>
        <v>2</v>
      </c>
      <c r="R25" s="84">
        <f t="shared" si="3"/>
        <v>8.5594989561586635E-2</v>
      </c>
      <c r="S25" s="84">
        <f ca="1">IFERROR((Table311[[#This Row],[Quota per Offering]]*(Table311[[#This Row],[Course Offerings]]-Table311[[#This Row],['# of course completion reports to be processed]]-Table311[[#This Row],['# of courses remaining]])-Table311[[#This Row],[To date quotas unused (Open quotas+ no shows)]])/(Table311[[#This Row],[Quota per Offering]]*(Table311[[#This Row],[Course Offerings]]-Table311[[#This Row],['# of course completion reports to be processed]]-Table311[[#This Row],['# of courses remaining]])),0)</f>
        <v>0.02</v>
      </c>
      <c r="T25" s="92">
        <f ca="1">IFERROR((Table311[[#This Row],[Quota per Offering]]*(Table311[[#This Row],[Course Offerings]]-Table311[[#This Row],['# of course completion reports to be processed]]-Table311[[#This Row],['# of courses remaining]])-Table311[[#This Row],[No Shows]])/(Table311[[#This Row],[Quota per Offering]]*(Table311[[#This Row],[Course Offerings]]-Table311[[#This Row],['# of course completion reports to be processed]]-Table311[[#This Row],['# of courses remaining]])),0)</f>
        <v>0.87333333333333329</v>
      </c>
      <c r="U25" s="125">
        <v>0</v>
      </c>
      <c r="V25" s="125">
        <v>57</v>
      </c>
      <c r="W25" s="81">
        <f t="shared" ca="1" si="5"/>
        <v>60</v>
      </c>
      <c r="X25" s="81">
        <f>Table311[[#This Row],[Fleet Quota Need]]-Table311[[#This Row],[Total Grads]]</f>
        <v>876</v>
      </c>
      <c r="Y25" s="63"/>
    </row>
    <row r="26" spans="2:25" ht="31.5">
      <c r="B26" s="106" t="s">
        <v>26</v>
      </c>
      <c r="C26" s="77" t="s">
        <v>53</v>
      </c>
      <c r="D26" s="77" t="s">
        <v>49</v>
      </c>
      <c r="E26" s="77">
        <f>COUNTIF(Table2[Course Title],Table311[[#This Row],[Courses - Planned vs Need (Active Courses)]])</f>
        <v>15</v>
      </c>
      <c r="F26" s="77">
        <v>30</v>
      </c>
      <c r="G26" s="77">
        <f>Table311[[#This Row],[Course Offerings]]*Table311[[#This Row],[Quota per Offering]]</f>
        <v>450</v>
      </c>
      <c r="H26" s="77">
        <v>810</v>
      </c>
      <c r="I26" s="77">
        <f t="shared" si="0"/>
        <v>-360</v>
      </c>
      <c r="J26" s="80">
        <f t="shared" si="1"/>
        <v>0.55555555555555558</v>
      </c>
      <c r="K26" s="78">
        <f>SUMIF(Table2[Course Title],Table311[[#This Row],[Courses - Planned vs Need (Active Courses)]],Table2[Graduates])</f>
        <v>38</v>
      </c>
      <c r="L26" s="79">
        <f>SUMIF(Table2[Course Title],Table311[[#This Row],[Courses - Planned vs Need (Active Courses)]],Table2[No Shows])</f>
        <v>10</v>
      </c>
      <c r="M26" s="79">
        <f>SUMIFS(Table2[Quotas],Table2[Course Title],Table311[[#This Row],[Courses - Planned vs Need (Active Courses)]],Table2[Roster Status],0)-SUMIFS(Table2[Graduates],Table2[Course Title],Table311[[#This Row],[Courses - Planned vs Need (Active Courses)]],Table2[Roster Status],0)-SUMIFS(Table2[Fail],Table2[Course Title],Table311[[#This Row],[Courses - Planned vs Need (Active Courses)]],Table2[Roster Status],0)+Table311[[#This Row],[No Shows]]</f>
        <v>392</v>
      </c>
      <c r="N26" s="81">
        <f>ROUNDDOWN(Table311[[#This Row],[To date quotas unused (Open quotas+ no shows)]]/Table311[[#This Row],[Quota per Offering]],0)</f>
        <v>13</v>
      </c>
      <c r="O26" s="79">
        <f t="shared" si="2"/>
        <v>412</v>
      </c>
      <c r="P26" s="81">
        <f>COUNTIFS(Table2[Course Title],Table311[[#This Row],[Courses - Planned vs Need (Active Courses)]],Table2[Roster Status],"1",Table2[Remaining Courses],"0")</f>
        <v>0</v>
      </c>
      <c r="Q26" s="81">
        <f ca="1">COUNTIFS(Table2[Course Title],Table311[[#This Row],[Courses - Planned vs Need (Active Courses)]],Table2[Remaining Courses],"1")</f>
        <v>11</v>
      </c>
      <c r="R26" s="84">
        <f t="shared" si="3"/>
        <v>4.6913580246913583E-2</v>
      </c>
      <c r="S26" s="84">
        <f ca="1">IFERROR((Table311[[#This Row],[Quota per Offering]]*(Table311[[#This Row],[Course Offerings]]-Table311[[#This Row],['# of course completion reports to be processed]]-Table311[[#This Row],['# of courses remaining]])-Table311[[#This Row],[To date quotas unused (Open quotas+ no shows)]])/(Table311[[#This Row],[Quota per Offering]]*(Table311[[#This Row],[Course Offerings]]-Table311[[#This Row],['# of course completion reports to be processed]]-Table311[[#This Row],['# of courses remaining]])),0)</f>
        <v>-2.2666666666666666</v>
      </c>
      <c r="T26" s="92">
        <f ca="1">IFERROR((Table311[[#This Row],[Quota per Offering]]*(Table311[[#This Row],[Course Offerings]]-Table311[[#This Row],['# of course completion reports to be processed]]-Table311[[#This Row],['# of courses remaining]])-Table311[[#This Row],[No Shows]])/(Table311[[#This Row],[Quota per Offering]]*(Table311[[#This Row],[Course Offerings]]-Table311[[#This Row],['# of course completion reports to be processed]]-Table311[[#This Row],['# of courses remaining]])),0)</f>
        <v>0.91666666666666663</v>
      </c>
      <c r="U26" s="125">
        <v>30</v>
      </c>
      <c r="V26" s="125">
        <v>328</v>
      </c>
      <c r="W26" s="81">
        <f t="shared" ca="1" si="5"/>
        <v>330</v>
      </c>
      <c r="X26" s="81">
        <f>Table311[[#This Row],[Fleet Quota Need]]-Table311[[#This Row],[Total Grads]]</f>
        <v>772</v>
      </c>
      <c r="Y26" s="63"/>
    </row>
    <row r="27" spans="2:25" ht="31.5">
      <c r="B27" s="106" t="s">
        <v>27</v>
      </c>
      <c r="C27" s="77" t="s">
        <v>53</v>
      </c>
      <c r="D27" s="77" t="s">
        <v>49</v>
      </c>
      <c r="E27" s="77">
        <f>COUNTIF(Table2[Course Title],Table311[[#This Row],[Courses - Planned vs Need (Active Courses)]])</f>
        <v>6</v>
      </c>
      <c r="F27" s="77">
        <v>30</v>
      </c>
      <c r="G27" s="77">
        <f>Table311[[#This Row],[Course Offerings]]*Table311[[#This Row],[Quota per Offering]]</f>
        <v>180</v>
      </c>
      <c r="H27" s="77">
        <v>1090</v>
      </c>
      <c r="I27" s="77">
        <f t="shared" si="0"/>
        <v>-910</v>
      </c>
      <c r="J27" s="80">
        <f t="shared" si="1"/>
        <v>0.16513761467889909</v>
      </c>
      <c r="K27" s="78">
        <f>SUMIF(Table2[Course Title],Table311[[#This Row],[Courses - Planned vs Need (Active Courses)]],Table2[Graduates])</f>
        <v>62</v>
      </c>
      <c r="L27" s="79">
        <f>SUMIF(Table2[Course Title],Table311[[#This Row],[Courses - Planned vs Need (Active Courses)]],Table2[No Shows])</f>
        <v>18</v>
      </c>
      <c r="M27" s="79">
        <f>SUMIFS(Table2[Quotas],Table2[Course Title],Table311[[#This Row],[Courses - Planned vs Need (Active Courses)]],Table2[Roster Status],0)-SUMIFS(Table2[Graduates],Table2[Course Title],Table311[[#This Row],[Courses - Planned vs Need (Active Courses)]],Table2[Roster Status],0)-SUMIFS(Table2[Fail],Table2[Course Title],Table311[[#This Row],[Courses - Planned vs Need (Active Courses)]],Table2[Roster Status],0)+Table311[[#This Row],[No Shows]]</f>
        <v>136</v>
      </c>
      <c r="N27" s="81">
        <f>ROUNDDOWN(Table311[[#This Row],[To date quotas unused (Open quotas+ no shows)]]/Table311[[#This Row],[Quota per Offering]],0)</f>
        <v>4</v>
      </c>
      <c r="O27" s="79">
        <f t="shared" si="2"/>
        <v>118</v>
      </c>
      <c r="P27" s="81">
        <f>COUNTIFS(Table2[Course Title],Table311[[#This Row],[Courses - Planned vs Need (Active Courses)]],Table2[Roster Status],"1",Table2[Remaining Courses],"0")</f>
        <v>0</v>
      </c>
      <c r="Q27" s="81">
        <f ca="1">COUNTIFS(Table2[Course Title],Table311[[#This Row],[Courses - Planned vs Need (Active Courses)]],Table2[Remaining Courses],"1")</f>
        <v>2</v>
      </c>
      <c r="R27" s="84">
        <f t="shared" si="3"/>
        <v>5.6880733944954132E-2</v>
      </c>
      <c r="S27" s="84">
        <f ca="1">IFERROR((Table311[[#This Row],[Quota per Offering]]*(Table311[[#This Row],[Course Offerings]]-Table311[[#This Row],['# of course completion reports to be processed]]-Table311[[#This Row],['# of courses remaining]])-Table311[[#This Row],[To date quotas unused (Open quotas+ no shows)]])/(Table311[[#This Row],[Quota per Offering]]*(Table311[[#This Row],[Course Offerings]]-Table311[[#This Row],['# of course completion reports to be processed]]-Table311[[#This Row],['# of courses remaining]])),0)</f>
        <v>-0.13333333333333333</v>
      </c>
      <c r="T27" s="92">
        <f ca="1">IFERROR((Table311[[#This Row],[Quota per Offering]]*(Table311[[#This Row],[Course Offerings]]-Table311[[#This Row],['# of course completion reports to be processed]]-Table311[[#This Row],['# of courses remaining]])-Table311[[#This Row],[No Shows]])/(Table311[[#This Row],[Quota per Offering]]*(Table311[[#This Row],[Course Offerings]]-Table311[[#This Row],['# of course completion reports to be processed]]-Table311[[#This Row],['# of courses remaining]])),0)</f>
        <v>0.85</v>
      </c>
      <c r="U27" s="126">
        <v>0</v>
      </c>
      <c r="V27" s="126">
        <v>29</v>
      </c>
      <c r="W27" s="81">
        <f t="shared" ca="1" si="5"/>
        <v>60</v>
      </c>
      <c r="X27" s="81">
        <f>Table311[[#This Row],[Fleet Quota Need]]-Table311[[#This Row],[Total Grads]]</f>
        <v>1028</v>
      </c>
      <c r="Y27" s="63"/>
    </row>
    <row r="28" spans="2:25" ht="15.75">
      <c r="B28" s="93" t="s">
        <v>28</v>
      </c>
      <c r="C28" s="77"/>
      <c r="D28" s="77" t="s">
        <v>50</v>
      </c>
      <c r="E28" s="77">
        <f>COUNTIF(Table2[Course Title],Table311[[#This Row],[Courses - Planned vs Need (Active Courses)]])</f>
        <v>10</v>
      </c>
      <c r="F28" s="77">
        <v>25</v>
      </c>
      <c r="G28" s="77">
        <f>Table311[[#This Row],[Course Offerings]]*Table311[[#This Row],[Quota per Offering]]</f>
        <v>250</v>
      </c>
      <c r="H28" s="77">
        <v>930</v>
      </c>
      <c r="I28" s="77">
        <f t="shared" si="0"/>
        <v>-680</v>
      </c>
      <c r="J28" s="80">
        <f t="shared" si="1"/>
        <v>0.26881720430107525</v>
      </c>
      <c r="K28" s="78">
        <f>SUMIF(Table2[Course Title],Table311[[#This Row],[Courses - Planned vs Need (Active Courses)]],Table2[Graduates])</f>
        <v>60</v>
      </c>
      <c r="L28" s="79">
        <f>SUMIF(Table2[Course Title],Table311[[#This Row],[Courses - Planned vs Need (Active Courses)]],Table2[No Shows])</f>
        <v>7</v>
      </c>
      <c r="M28" s="79">
        <f>SUMIFS(Table2[Quotas],Table2[Course Title],Table311[[#This Row],[Courses - Planned vs Need (Active Courses)]],Table2[Roster Status],0)-SUMIFS(Table2[Graduates],Table2[Course Title],Table311[[#This Row],[Courses - Planned vs Need (Active Courses)]],Table2[Roster Status],0)-SUMIFS(Table2[Fail],Table2[Course Title],Table311[[#This Row],[Courses - Planned vs Need (Active Courses)]],Table2[Roster Status],0)+Table311[[#This Row],[No Shows]]</f>
        <v>197</v>
      </c>
      <c r="N28" s="81">
        <f>ROUNDDOWN(Table311[[#This Row],[To date quotas unused (Open quotas+ no shows)]]/Table311[[#This Row],[Quota per Offering]],0)</f>
        <v>7</v>
      </c>
      <c r="O28" s="79">
        <f t="shared" si="2"/>
        <v>190</v>
      </c>
      <c r="P28" s="81">
        <f>COUNTIFS(Table2[Course Title],Table311[[#This Row],[Courses - Planned vs Need (Active Courses)]],Table2[Roster Status],"1",Table2[Remaining Courses],"0")</f>
        <v>0</v>
      </c>
      <c r="Q28" s="81">
        <f ca="1">COUNTIFS(Table2[Course Title],Table311[[#This Row],[Courses - Planned vs Need (Active Courses)]],Table2[Remaining Courses],"1")</f>
        <v>5</v>
      </c>
      <c r="R28" s="84">
        <f t="shared" si="3"/>
        <v>6.4516129032258063E-2</v>
      </c>
      <c r="S28" s="84">
        <f ca="1">IFERROR((Table311[[#This Row],[Quota per Offering]]*(Table311[[#This Row],[Course Offerings]]-Table311[[#This Row],['# of course completion reports to be processed]]-Table311[[#This Row],['# of courses remaining]])-Table311[[#This Row],[To date quotas unused (Open quotas+ no shows)]])/(Table311[[#This Row],[Quota per Offering]]*(Table311[[#This Row],[Course Offerings]]-Table311[[#This Row],['# of course completion reports to be processed]]-Table311[[#This Row],['# of courses remaining]])),0)</f>
        <v>-0.57599999999999996</v>
      </c>
      <c r="T28" s="92">
        <f ca="1">IFERROR((Table311[[#This Row],[Quota per Offering]]*(Table311[[#This Row],[Course Offerings]]-Table311[[#This Row],['# of course completion reports to be processed]]-Table311[[#This Row],['# of courses remaining]])-Table311[[#This Row],[No Shows]])/(Table311[[#This Row],[Quota per Offering]]*(Table311[[#This Row],[Course Offerings]]-Table311[[#This Row],['# of course completion reports to be processed]]-Table311[[#This Row],['# of courses remaining]])),0)</f>
        <v>0.94399999999999995</v>
      </c>
      <c r="U28" s="125">
        <v>0</v>
      </c>
      <c r="V28" s="125">
        <v>112</v>
      </c>
      <c r="W28" s="81">
        <f t="shared" ca="1" si="5"/>
        <v>125</v>
      </c>
      <c r="X28" s="81">
        <f>Table311[[#This Row],[Fleet Quota Need]]-Table311[[#This Row],[Total Grads]]</f>
        <v>870</v>
      </c>
      <c r="Y28" s="63"/>
    </row>
    <row r="29" spans="2:25" ht="31.5">
      <c r="B29" s="93" t="s">
        <v>266</v>
      </c>
      <c r="C29" s="77"/>
      <c r="D29" s="77" t="s">
        <v>50</v>
      </c>
      <c r="E29" s="77">
        <f>COUNTIF(Table2[Course Title],Table311[[#This Row],[Courses - Planned vs Need (Active Courses)]])</f>
        <v>15</v>
      </c>
      <c r="F29" s="77">
        <v>40</v>
      </c>
      <c r="G29" s="77">
        <f>Table311[[#This Row],[Course Offerings]]*Table311[[#This Row],[Quota per Offering]]</f>
        <v>600</v>
      </c>
      <c r="H29" s="77">
        <v>893</v>
      </c>
      <c r="I29" s="77">
        <f t="shared" si="0"/>
        <v>-293</v>
      </c>
      <c r="J29" s="80">
        <f t="shared" si="1"/>
        <v>0.67189249720044797</v>
      </c>
      <c r="K29" s="78">
        <f>SUMIF(Table2[Course Title],Table311[[#This Row],[Courses - Planned vs Need (Active Courses)]],Table2[Graduates])</f>
        <v>243</v>
      </c>
      <c r="L29" s="79">
        <f>SUMIF(Table2[Course Title],Table311[[#This Row],[Courses - Planned vs Need (Active Courses)]],Table2[No Shows])</f>
        <v>53</v>
      </c>
      <c r="M29" s="79">
        <f>SUMIFS(Table2[Quotas],Table2[Course Title],Table311[[#This Row],[Courses - Planned vs Need (Active Courses)]],Table2[Roster Status],0)-SUMIFS(Table2[Graduates],Table2[Course Title],Table311[[#This Row],[Courses - Planned vs Need (Active Courses)]],Table2[Roster Status],0)-SUMIFS(Table2[Fail],Table2[Course Title],Table311[[#This Row],[Courses - Planned vs Need (Active Courses)]],Table2[Roster Status],0)+Table311[[#This Row],[No Shows]]</f>
        <v>406</v>
      </c>
      <c r="N29" s="81">
        <f>ROUNDDOWN(Table311[[#This Row],[To date quotas unused (Open quotas+ no shows)]]/Table311[[#This Row],[Quota per Offering]],0)</f>
        <v>10</v>
      </c>
      <c r="O29" s="79">
        <f t="shared" si="2"/>
        <v>357</v>
      </c>
      <c r="P29" s="81">
        <f>COUNTIFS(Table2[Course Title],Table311[[#This Row],[Courses - Planned vs Need (Active Courses)]],Table2[Roster Status],"1",Table2[Remaining Courses],"0")</f>
        <v>0</v>
      </c>
      <c r="Q29" s="81">
        <f ca="1">COUNTIFS(Table2[Course Title],Table311[[#This Row],[Courses - Planned vs Need (Active Courses)]],Table2[Remaining Courses],"1")</f>
        <v>7</v>
      </c>
      <c r="R29" s="84">
        <f t="shared" si="3"/>
        <v>0.27211646136618139</v>
      </c>
      <c r="S29" s="84">
        <f ca="1">IFERROR((Table311[[#This Row],[Quota per Offering]]*(Table311[[#This Row],[Course Offerings]]-Table311[[#This Row],['# of course completion reports to be processed]]-Table311[[#This Row],['# of courses remaining]])-Table311[[#This Row],[To date quotas unused (Open quotas+ no shows)]])/(Table311[[#This Row],[Quota per Offering]]*(Table311[[#This Row],[Course Offerings]]-Table311[[#This Row],['# of course completion reports to be processed]]-Table311[[#This Row],['# of courses remaining]])),0)</f>
        <v>-0.26874999999999999</v>
      </c>
      <c r="T29" s="92">
        <f ca="1">IFERROR((Table311[[#This Row],[Quota per Offering]]*(Table311[[#This Row],[Course Offerings]]-Table311[[#This Row],['# of course completion reports to be processed]]-Table311[[#This Row],['# of courses remaining]])-Table311[[#This Row],[No Shows]])/(Table311[[#This Row],[Quota per Offering]]*(Table311[[#This Row],[Course Offerings]]-Table311[[#This Row],['# of course completion reports to be processed]]-Table311[[#This Row],['# of courses remaining]])),0)</f>
        <v>0.83437499999999998</v>
      </c>
      <c r="U29" s="126">
        <v>0</v>
      </c>
      <c r="V29" s="126">
        <v>56</v>
      </c>
      <c r="W29" s="81">
        <f t="shared" ca="1" si="5"/>
        <v>280</v>
      </c>
      <c r="X29" s="81">
        <f>Table311[[#This Row],[Fleet Quota Need]]-Table311[[#This Row],[Total Grads]]</f>
        <v>650</v>
      </c>
      <c r="Y29" s="63"/>
    </row>
    <row r="30" spans="2:25" ht="31.5">
      <c r="B30" s="93" t="s">
        <v>270</v>
      </c>
      <c r="C30" s="77"/>
      <c r="D30" s="77" t="s">
        <v>50</v>
      </c>
      <c r="E30" s="77">
        <f>COUNTIF(Table2[Course Title],Table311[[#This Row],[Courses - Planned vs Need (Active Courses)]])</f>
        <v>10</v>
      </c>
      <c r="F30" s="77">
        <v>30</v>
      </c>
      <c r="G30" s="77">
        <f>Table311[[#This Row],[Course Offerings]]*Table311[[#This Row],[Quota per Offering]]</f>
        <v>300</v>
      </c>
      <c r="H30" s="77">
        <v>619</v>
      </c>
      <c r="I30" s="77">
        <f t="shared" si="0"/>
        <v>-319</v>
      </c>
      <c r="J30" s="80">
        <f t="shared" si="1"/>
        <v>0.48465266558966075</v>
      </c>
      <c r="K30" s="78">
        <f>SUMIF(Table2[Course Title],Table311[[#This Row],[Courses - Planned vs Need (Active Courses)]],Table2[Graduates])</f>
        <v>109</v>
      </c>
      <c r="L30" s="79">
        <f>SUMIF(Table2[Course Title],Table311[[#This Row],[Courses - Planned vs Need (Active Courses)]],Table2[No Shows])</f>
        <v>16</v>
      </c>
      <c r="M30" s="79">
        <f>SUMIFS(Table2[Quotas],Table2[Course Title],Table311[[#This Row],[Courses - Planned vs Need (Active Courses)]],Table2[Roster Status],0)-SUMIFS(Table2[Graduates],Table2[Course Title],Table311[[#This Row],[Courses - Planned vs Need (Active Courses)]],Table2[Roster Status],0)-SUMIFS(Table2[Fail],Table2[Course Title],Table311[[#This Row],[Courses - Planned vs Need (Active Courses)]],Table2[Roster Status],0)+Table311[[#This Row],[No Shows]]</f>
        <v>206</v>
      </c>
      <c r="N30" s="81">
        <f>ROUNDDOWN(Table311[[#This Row],[To date quotas unused (Open quotas+ no shows)]]/Table311[[#This Row],[Quota per Offering]],0)</f>
        <v>6</v>
      </c>
      <c r="O30" s="79">
        <f t="shared" si="2"/>
        <v>191</v>
      </c>
      <c r="P30" s="81">
        <f>COUNTIFS(Table2[Course Title],Table311[[#This Row],[Courses - Planned vs Need (Active Courses)]],Table2[Roster Status],"1",Table2[Remaining Courses],"0")</f>
        <v>0</v>
      </c>
      <c r="Q30" s="81">
        <f ca="1">COUNTIFS(Table2[Course Title],Table311[[#This Row],[Courses - Planned vs Need (Active Courses)]],Table2[Remaining Courses],"1")</f>
        <v>6</v>
      </c>
      <c r="R30" s="84">
        <f t="shared" si="3"/>
        <v>0.17609046849757673</v>
      </c>
      <c r="S30" s="84">
        <f ca="1">IFERROR((Table311[[#This Row],[Quota per Offering]]*(Table311[[#This Row],[Course Offerings]]-Table311[[#This Row],['# of course completion reports to be processed]]-Table311[[#This Row],['# of courses remaining]])-Table311[[#This Row],[To date quotas unused (Open quotas+ no shows)]])/(Table311[[#This Row],[Quota per Offering]]*(Table311[[#This Row],[Course Offerings]]-Table311[[#This Row],['# of course completion reports to be processed]]-Table311[[#This Row],['# of courses remaining]])),0)</f>
        <v>-0.71666666666666667</v>
      </c>
      <c r="T30" s="92">
        <f ca="1">IFERROR((Table311[[#This Row],[Quota per Offering]]*(Table311[[#This Row],[Course Offerings]]-Table311[[#This Row],['# of course completion reports to be processed]]-Table311[[#This Row],['# of courses remaining]])-Table311[[#This Row],[No Shows]])/(Table311[[#This Row],[Quota per Offering]]*(Table311[[#This Row],[Course Offerings]]-Table311[[#This Row],['# of course completion reports to be processed]]-Table311[[#This Row],['# of courses remaining]])),0)</f>
        <v>0.8666666666666667</v>
      </c>
      <c r="U30" s="126">
        <v>19</v>
      </c>
      <c r="V30" s="126">
        <v>75</v>
      </c>
      <c r="W30" s="81">
        <f t="shared" ca="1" si="5"/>
        <v>180</v>
      </c>
      <c r="X30" s="81">
        <f>Table311[[#This Row],[Fleet Quota Need]]-Table311[[#This Row],[Total Grads]]</f>
        <v>510</v>
      </c>
      <c r="Y30" s="63"/>
    </row>
    <row r="31" spans="2:25" ht="31.5">
      <c r="B31" s="93" t="s">
        <v>276</v>
      </c>
      <c r="C31" s="77"/>
      <c r="D31" s="77" t="s">
        <v>54</v>
      </c>
      <c r="E31" s="77">
        <f>COUNTIF(Table2[Course Title],Table311[[#This Row],[Courses - Planned vs Need (Active Courses)]])</f>
        <v>22</v>
      </c>
      <c r="F31" s="77">
        <v>45</v>
      </c>
      <c r="G31" s="77">
        <f>Table311[[#This Row],[Course Offerings]]*Table311[[#This Row],[Quota per Offering]]</f>
        <v>990</v>
      </c>
      <c r="H31" s="77">
        <v>990</v>
      </c>
      <c r="I31" s="77">
        <f t="shared" si="0"/>
        <v>0</v>
      </c>
      <c r="J31" s="80">
        <f t="shared" si="1"/>
        <v>1</v>
      </c>
      <c r="K31" s="78">
        <f>SUMIF(Table2[Course Title],Table311[[#This Row],[Courses - Planned vs Need (Active Courses)]],Table2[Graduates])</f>
        <v>426</v>
      </c>
      <c r="L31" s="79">
        <f>SUMIF(Table2[Course Title],Table311[[#This Row],[Courses - Planned vs Need (Active Courses)]],Table2[No Shows])</f>
        <v>97</v>
      </c>
      <c r="M31" s="79">
        <f>SUMIFS(Table2[Quotas],Table2[Course Title],Table311[[#This Row],[Courses - Planned vs Need (Active Courses)]],Table2[Roster Status],0)-SUMIFS(Table2[Graduates],Table2[Course Title],Table311[[#This Row],[Courses - Planned vs Need (Active Courses)]],Table2[Roster Status],0)-SUMIFS(Table2[Fail],Table2[Course Title],Table311[[#This Row],[Courses - Planned vs Need (Active Courses)]],Table2[Roster Status],0)+Table311[[#This Row],[No Shows]]</f>
        <v>654</v>
      </c>
      <c r="N31" s="81">
        <f>ROUNDDOWN(Table311[[#This Row],[To date quotas unused (Open quotas+ no shows)]]/Table311[[#This Row],[Quota per Offering]],0)</f>
        <v>14</v>
      </c>
      <c r="O31" s="79">
        <f t="shared" si="2"/>
        <v>564</v>
      </c>
      <c r="P31" s="81">
        <f>COUNTIFS(Table2[Course Title],Table311[[#This Row],[Courses - Planned vs Need (Active Courses)]],Table2[Roster Status],"1",Table2[Remaining Courses],"0")</f>
        <v>0</v>
      </c>
      <c r="Q31" s="81">
        <f ca="1">COUNTIFS(Table2[Course Title],Table311[[#This Row],[Courses - Planned vs Need (Active Courses)]],Table2[Remaining Courses],"1")</f>
        <v>10</v>
      </c>
      <c r="R31" s="84">
        <f t="shared" si="3"/>
        <v>0.4303030303030303</v>
      </c>
      <c r="S31" s="84">
        <f ca="1">IFERROR((Table311[[#This Row],[Quota per Offering]]*(Table311[[#This Row],[Course Offerings]]-Table311[[#This Row],['# of course completion reports to be processed]]-Table311[[#This Row],['# of courses remaining]])-Table311[[#This Row],[To date quotas unused (Open quotas+ no shows)]])/(Table311[[#This Row],[Quota per Offering]]*(Table311[[#This Row],[Course Offerings]]-Table311[[#This Row],['# of course completion reports to be processed]]-Table311[[#This Row],['# of courses remaining]])),0)</f>
        <v>-0.21111111111111111</v>
      </c>
      <c r="T31" s="92">
        <f ca="1">IFERROR((Table311[[#This Row],[Quota per Offering]]*(Table311[[#This Row],[Course Offerings]]-Table311[[#This Row],['# of course completion reports to be processed]]-Table311[[#This Row],['# of courses remaining]])-Table311[[#This Row],[No Shows]])/(Table311[[#This Row],[Quota per Offering]]*(Table311[[#This Row],[Course Offerings]]-Table311[[#This Row],['# of course completion reports to be processed]]-Table311[[#This Row],['# of courses remaining]])),0)</f>
        <v>0.82037037037037042</v>
      </c>
      <c r="U31" s="126">
        <v>0</v>
      </c>
      <c r="V31" s="126">
        <v>164</v>
      </c>
      <c r="W31" s="81">
        <f t="shared" ca="1" si="5"/>
        <v>450</v>
      </c>
      <c r="X31" s="81">
        <f>Table311[[#This Row],[Fleet Quota Need]]-Table311[[#This Row],[Total Grads]]</f>
        <v>564</v>
      </c>
      <c r="Y31" s="63"/>
    </row>
    <row r="32" spans="2:25" ht="31.5">
      <c r="B32" s="106" t="s">
        <v>284</v>
      </c>
      <c r="C32" s="77" t="s">
        <v>53</v>
      </c>
      <c r="D32" s="77" t="s">
        <v>54</v>
      </c>
      <c r="E32" s="77">
        <f>COUNTIF(Table2[Course Title],Table311[[#This Row],[Courses - Planned vs Need (Active Courses)]])</f>
        <v>10</v>
      </c>
      <c r="F32" s="77">
        <v>30</v>
      </c>
      <c r="G32" s="77">
        <f>Table311[[#This Row],[Course Offerings]]*Table311[[#This Row],[Quota per Offering]]</f>
        <v>300</v>
      </c>
      <c r="H32" s="77">
        <v>572</v>
      </c>
      <c r="I32" s="77">
        <f t="shared" si="0"/>
        <v>-272</v>
      </c>
      <c r="J32" s="80">
        <f t="shared" si="1"/>
        <v>0.52447552447552448</v>
      </c>
      <c r="K32" s="78">
        <f>SUMIF(Table2[Course Title],Table311[[#This Row],[Courses - Planned vs Need (Active Courses)]],Table2[Graduates])</f>
        <v>87</v>
      </c>
      <c r="L32" s="79">
        <f>SUMIF(Table2[Course Title],Table311[[#This Row],[Courses - Planned vs Need (Active Courses)]],Table2[No Shows])</f>
        <v>23</v>
      </c>
      <c r="M32" s="79">
        <f>SUMIFS(Table2[Quotas],Table2[Course Title],Table311[[#This Row],[Courses - Planned vs Need (Active Courses)]],Table2[Roster Status],0)-SUMIFS(Table2[Graduates],Table2[Course Title],Table311[[#This Row],[Courses - Planned vs Need (Active Courses)]],Table2[Roster Status],0)-SUMIFS(Table2[Fail],Table2[Course Title],Table311[[#This Row],[Courses - Planned vs Need (Active Courses)]],Table2[Roster Status],0)+Table311[[#This Row],[No Shows]]</f>
        <v>236</v>
      </c>
      <c r="N32" s="81">
        <f>ROUNDDOWN(Table311[[#This Row],[To date quotas unused (Open quotas+ no shows)]]/Table311[[#This Row],[Quota per Offering]],0)</f>
        <v>7</v>
      </c>
      <c r="O32" s="79">
        <f t="shared" si="2"/>
        <v>213</v>
      </c>
      <c r="P32" s="81">
        <f>COUNTIFS(Table2[Course Title],Table311[[#This Row],[Courses - Planned vs Need (Active Courses)]],Table2[Roster Status],"1",Table2[Remaining Courses],"0")</f>
        <v>0</v>
      </c>
      <c r="Q32" s="81">
        <f ca="1">COUNTIFS(Table2[Course Title],Table311[[#This Row],[Courses - Planned vs Need (Active Courses)]],Table2[Remaining Courses],"1")</f>
        <v>6</v>
      </c>
      <c r="R32" s="84">
        <f t="shared" si="3"/>
        <v>0.15209790209790211</v>
      </c>
      <c r="S32" s="84">
        <f ca="1">IFERROR((Table311[[#This Row],[Quota per Offering]]*(Table311[[#This Row],[Course Offerings]]-Table311[[#This Row],['# of course completion reports to be processed]]-Table311[[#This Row],['# of courses remaining]])-Table311[[#This Row],[To date quotas unused (Open quotas+ no shows)]])/(Table311[[#This Row],[Quota per Offering]]*(Table311[[#This Row],[Course Offerings]]-Table311[[#This Row],['# of course completion reports to be processed]]-Table311[[#This Row],['# of courses remaining]])),0)</f>
        <v>-0.96666666666666667</v>
      </c>
      <c r="T32" s="92">
        <f ca="1">IFERROR((Table311[[#This Row],[Quota per Offering]]*(Table311[[#This Row],[Course Offerings]]-Table311[[#This Row],['# of course completion reports to be processed]]-Table311[[#This Row],['# of courses remaining]])-Table311[[#This Row],[No Shows]])/(Table311[[#This Row],[Quota per Offering]]*(Table311[[#This Row],[Course Offerings]]-Table311[[#This Row],['# of course completion reports to be processed]]-Table311[[#This Row],['# of courses remaining]])),0)</f>
        <v>0.80833333333333335</v>
      </c>
      <c r="U32" s="125">
        <v>44</v>
      </c>
      <c r="V32" s="125">
        <v>79</v>
      </c>
      <c r="W32" s="81">
        <f t="shared" ca="1" si="5"/>
        <v>180</v>
      </c>
      <c r="X32" s="81">
        <f>Table311[[#This Row],[Fleet Quota Need]]-Table311[[#This Row],[Total Grads]]</f>
        <v>485</v>
      </c>
      <c r="Y32" s="63"/>
    </row>
    <row r="33" spans="2:25" ht="15.75">
      <c r="B33" s="93" t="s">
        <v>287</v>
      </c>
      <c r="C33" s="77"/>
      <c r="D33" s="77" t="s">
        <v>54</v>
      </c>
      <c r="E33" s="77">
        <f>COUNTIF(Table2[Course Title],Table311[[#This Row],[Courses - Planned vs Need (Active Courses)]])</f>
        <v>23</v>
      </c>
      <c r="F33" s="77">
        <v>45</v>
      </c>
      <c r="G33" s="77">
        <f>Table311[[#This Row],[Course Offerings]]*Table311[[#This Row],[Quota per Offering]]</f>
        <v>1035</v>
      </c>
      <c r="H33" s="77">
        <v>1033</v>
      </c>
      <c r="I33" s="77">
        <f t="shared" si="0"/>
        <v>2</v>
      </c>
      <c r="J33" s="80">
        <f t="shared" si="1"/>
        <v>1.0019361084220717</v>
      </c>
      <c r="K33" s="78">
        <f>SUMIF(Table2[Course Title],Table311[[#This Row],[Courses - Planned vs Need (Active Courses)]],Table2[Graduates])</f>
        <v>416</v>
      </c>
      <c r="L33" s="79">
        <f>SUMIF(Table2[Course Title],Table311[[#This Row],[Courses - Planned vs Need (Active Courses)]],Table2[No Shows])</f>
        <v>49</v>
      </c>
      <c r="M33" s="79">
        <f>SUMIFS(Table2[Quotas],Table2[Course Title],Table311[[#This Row],[Courses - Planned vs Need (Active Courses)]],Table2[Roster Status],0)-SUMIFS(Table2[Graduates],Table2[Course Title],Table311[[#This Row],[Courses - Planned vs Need (Active Courses)]],Table2[Roster Status],0)-SUMIFS(Table2[Fail],Table2[Course Title],Table311[[#This Row],[Courses - Planned vs Need (Active Courses)]],Table2[Roster Status],0)+Table311[[#This Row],[No Shows]]</f>
        <v>665</v>
      </c>
      <c r="N33" s="81">
        <f>ROUNDDOWN(Table311[[#This Row],[To date quotas unused (Open quotas+ no shows)]]/Table311[[#This Row],[Quota per Offering]],0)</f>
        <v>14</v>
      </c>
      <c r="O33" s="79">
        <f t="shared" si="2"/>
        <v>619</v>
      </c>
      <c r="P33" s="81">
        <f>COUNTIFS(Table2[Course Title],Table311[[#This Row],[Courses - Planned vs Need (Active Courses)]],Table2[Roster Status],"1",Table2[Remaining Courses],"0")</f>
        <v>0</v>
      </c>
      <c r="Q33" s="81">
        <f ca="1">COUNTIFS(Table2[Course Title],Table311[[#This Row],[Courses - Planned vs Need (Active Courses)]],Table2[Remaining Courses],"1")</f>
        <v>10</v>
      </c>
      <c r="R33" s="84">
        <f t="shared" si="3"/>
        <v>0.40271055179090032</v>
      </c>
      <c r="S33" s="84">
        <f ca="1">IFERROR((Table311[[#This Row],[Quota per Offering]]*(Table311[[#This Row],[Course Offerings]]-Table311[[#This Row],['# of course completion reports to be processed]]-Table311[[#This Row],['# of courses remaining]])-Table311[[#This Row],[To date quotas unused (Open quotas+ no shows)]])/(Table311[[#This Row],[Quota per Offering]]*(Table311[[#This Row],[Course Offerings]]-Table311[[#This Row],['# of course completion reports to be processed]]-Table311[[#This Row],['# of courses remaining]])),0)</f>
        <v>-0.13675213675213677</v>
      </c>
      <c r="T33" s="92">
        <f ca="1">IFERROR((Table311[[#This Row],[Quota per Offering]]*(Table311[[#This Row],[Course Offerings]]-Table311[[#This Row],['# of course completion reports to be processed]]-Table311[[#This Row],['# of courses remaining]])-Table311[[#This Row],[No Shows]])/(Table311[[#This Row],[Quota per Offering]]*(Table311[[#This Row],[Course Offerings]]-Table311[[#This Row],['# of course completion reports to be processed]]-Table311[[#This Row],['# of courses remaining]])),0)</f>
        <v>0.9162393162393162</v>
      </c>
      <c r="U33" s="125">
        <v>106</v>
      </c>
      <c r="V33" s="125">
        <v>249</v>
      </c>
      <c r="W33" s="81">
        <f t="shared" ca="1" si="5"/>
        <v>450</v>
      </c>
      <c r="X33" s="81">
        <f>Table311[[#This Row],[Fleet Quota Need]]-Table311[[#This Row],[Total Grads]]</f>
        <v>617</v>
      </c>
      <c r="Y33" s="63"/>
    </row>
    <row r="34" spans="2:25" ht="31.5">
      <c r="B34" s="93" t="s">
        <v>34</v>
      </c>
      <c r="C34" s="77"/>
      <c r="D34" s="77" t="s">
        <v>50</v>
      </c>
      <c r="E34" s="77">
        <f>COUNTIF(Table2[Course Title],Table311[[#This Row],[Courses - Planned vs Need (Active Courses)]])</f>
        <v>10</v>
      </c>
      <c r="F34" s="77">
        <v>30</v>
      </c>
      <c r="G34" s="77">
        <f>Table311[[#This Row],[Course Offerings]]*Table311[[#This Row],[Quota per Offering]]</f>
        <v>300</v>
      </c>
      <c r="H34" s="77">
        <v>605</v>
      </c>
      <c r="I34" s="77">
        <f t="shared" si="0"/>
        <v>-305</v>
      </c>
      <c r="J34" s="80">
        <f t="shared" si="1"/>
        <v>0.49586776859504134</v>
      </c>
      <c r="K34" s="78">
        <f>SUMIF(Table2[Course Title],Table311[[#This Row],[Courses - Planned vs Need (Active Courses)]],Table2[Graduates])</f>
        <v>154</v>
      </c>
      <c r="L34" s="79">
        <f>SUMIF(Table2[Course Title],Table311[[#This Row],[Courses - Planned vs Need (Active Courses)]],Table2[No Shows])</f>
        <v>23</v>
      </c>
      <c r="M34" s="79">
        <f>SUMIFS(Table2[Quotas],Table2[Course Title],Table311[[#This Row],[Courses - Planned vs Need (Active Courses)]],Table2[Roster Status],0)-SUMIFS(Table2[Graduates],Table2[Course Title],Table311[[#This Row],[Courses - Planned vs Need (Active Courses)]],Table2[Roster Status],0)-SUMIFS(Table2[Fail],Table2[Course Title],Table311[[#This Row],[Courses - Planned vs Need (Active Courses)]],Table2[Roster Status],0)+Table311[[#This Row],[No Shows]]</f>
        <v>164</v>
      </c>
      <c r="N34" s="81">
        <f>ROUNDDOWN(Table311[[#This Row],[To date quotas unused (Open quotas+ no shows)]]/Table311[[#This Row],[Quota per Offering]],0)</f>
        <v>5</v>
      </c>
      <c r="O34" s="79">
        <f t="shared" si="2"/>
        <v>146</v>
      </c>
      <c r="P34" s="81">
        <f>COUNTIFS(Table2[Course Title],Table311[[#This Row],[Courses - Planned vs Need (Active Courses)]],Table2[Roster Status],"1",Table2[Remaining Courses],"0")</f>
        <v>0</v>
      </c>
      <c r="Q34" s="81">
        <f ca="1">COUNTIFS(Table2[Course Title],Table311[[#This Row],[Courses - Planned vs Need (Active Courses)]],Table2[Remaining Courses],"1")</f>
        <v>3</v>
      </c>
      <c r="R34" s="84">
        <f t="shared" si="3"/>
        <v>0.25454545454545452</v>
      </c>
      <c r="S34" s="84">
        <f ca="1">IFERROR((Table311[[#This Row],[Quota per Offering]]*(Table311[[#This Row],[Course Offerings]]-Table311[[#This Row],['# of course completion reports to be processed]]-Table311[[#This Row],['# of courses remaining]])-Table311[[#This Row],[To date quotas unused (Open quotas+ no shows)]])/(Table311[[#This Row],[Quota per Offering]]*(Table311[[#This Row],[Course Offerings]]-Table311[[#This Row],['# of course completion reports to be processed]]-Table311[[#This Row],['# of courses remaining]])),0)</f>
        <v>0.21904761904761905</v>
      </c>
      <c r="T34" s="92">
        <f ca="1">IFERROR((Table311[[#This Row],[Quota per Offering]]*(Table311[[#This Row],[Course Offerings]]-Table311[[#This Row],['# of course completion reports to be processed]]-Table311[[#This Row],['# of courses remaining]])-Table311[[#This Row],[No Shows]])/(Table311[[#This Row],[Quota per Offering]]*(Table311[[#This Row],[Course Offerings]]-Table311[[#This Row],['# of course completion reports to be processed]]-Table311[[#This Row],['# of courses remaining]])),0)</f>
        <v>0.89047619047619042</v>
      </c>
      <c r="U34" s="125">
        <v>0</v>
      </c>
      <c r="V34" s="125">
        <v>36</v>
      </c>
      <c r="W34" s="81">
        <f t="shared" ca="1" si="5"/>
        <v>90</v>
      </c>
      <c r="X34" s="81">
        <f>Table311[[#This Row],[Fleet Quota Need]]-Table311[[#This Row],[Total Grads]]</f>
        <v>451</v>
      </c>
      <c r="Y34" s="63"/>
    </row>
    <row r="35" spans="2:25" ht="31.5">
      <c r="B35" s="106" t="s">
        <v>35</v>
      </c>
      <c r="C35" s="77" t="s">
        <v>53</v>
      </c>
      <c r="D35" s="77" t="s">
        <v>49</v>
      </c>
      <c r="E35" s="77">
        <f>COUNTIF(Table2[Course Title],Table311[[#This Row],[Courses - Planned vs Need (Active Courses)]])</f>
        <v>21</v>
      </c>
      <c r="F35" s="77">
        <v>25</v>
      </c>
      <c r="G35" s="77">
        <f>Table311[[#This Row],[Course Offerings]]*Table311[[#This Row],[Quota per Offering]]</f>
        <v>525</v>
      </c>
      <c r="H35" s="77">
        <v>1440</v>
      </c>
      <c r="I35" s="77">
        <f t="shared" si="0"/>
        <v>-915</v>
      </c>
      <c r="J35" s="80">
        <f t="shared" si="1"/>
        <v>0.36458333333333331</v>
      </c>
      <c r="K35" s="78">
        <f>SUMIF(Table2[Course Title],Table311[[#This Row],[Courses - Planned vs Need (Active Courses)]],Table2[Graduates])</f>
        <v>68</v>
      </c>
      <c r="L35" s="79">
        <f>SUMIF(Table2[Course Title],Table311[[#This Row],[Courses - Planned vs Need (Active Courses)]],Table2[No Shows])</f>
        <v>25</v>
      </c>
      <c r="M35" s="79">
        <f>SUMIFS(Table2[Quotas],Table2[Course Title],Table311[[#This Row],[Courses - Planned vs Need (Active Courses)]],Table2[Roster Status],0)-SUMIFS(Table2[Graduates],Table2[Course Title],Table311[[#This Row],[Courses - Planned vs Need (Active Courses)]],Table2[Roster Status],0)-SUMIFS(Table2[Fail],Table2[Course Title],Table311[[#This Row],[Courses - Planned vs Need (Active Courses)]],Table2[Roster Status],0)+Table311[[#This Row],[No Shows]]</f>
        <v>587</v>
      </c>
      <c r="N35" s="81">
        <f>ROUNDDOWN(Table311[[#This Row],[To date quotas unused (Open quotas+ no shows)]]/Table311[[#This Row],[Quota per Offering]],0)</f>
        <v>23</v>
      </c>
      <c r="O35" s="79">
        <f t="shared" si="2"/>
        <v>457</v>
      </c>
      <c r="P35" s="81">
        <f>COUNTIFS(Table2[Course Title],Table311[[#This Row],[Courses - Planned vs Need (Active Courses)]],Table2[Roster Status],"1",Table2[Remaining Courses],"0")</f>
        <v>0</v>
      </c>
      <c r="Q35" s="81">
        <f ca="1">COUNTIFS(Table2[Course Title],Table311[[#This Row],[Courses - Planned vs Need (Active Courses)]],Table2[Remaining Courses],"1")</f>
        <v>18</v>
      </c>
      <c r="R35" s="84">
        <f t="shared" si="3"/>
        <v>4.7222222222222221E-2</v>
      </c>
      <c r="S35" s="84">
        <f ca="1">IFERROR((Table311[[#This Row],[Quota per Offering]]*(Table311[[#This Row],[Course Offerings]]-Table311[[#This Row],['# of course completion reports to be processed]]-Table311[[#This Row],['# of courses remaining]])-Table311[[#This Row],[To date quotas unused (Open quotas+ no shows)]])/(Table311[[#This Row],[Quota per Offering]]*(Table311[[#This Row],[Course Offerings]]-Table311[[#This Row],['# of course completion reports to be processed]]-Table311[[#This Row],['# of courses remaining]])),0)</f>
        <v>-6.8266666666666671</v>
      </c>
      <c r="T35" s="92">
        <f ca="1">IFERROR((Table311[[#This Row],[Quota per Offering]]*(Table311[[#This Row],[Course Offerings]]-Table311[[#This Row],['# of course completion reports to be processed]]-Table311[[#This Row],['# of courses remaining]])-Table311[[#This Row],[No Shows]])/(Table311[[#This Row],[Quota per Offering]]*(Table311[[#This Row],[Course Offerings]]-Table311[[#This Row],['# of course completion reports to be processed]]-Table311[[#This Row],['# of courses remaining]])),0)</f>
        <v>0.66666666666666663</v>
      </c>
      <c r="U35" s="125">
        <v>31</v>
      </c>
      <c r="V35" s="125">
        <v>477</v>
      </c>
      <c r="W35" s="81">
        <f t="shared" ca="1" si="5"/>
        <v>450</v>
      </c>
      <c r="X35" s="81">
        <f>Table311[[#This Row],[Fleet Quota Need]]-Table311[[#This Row],[Total Grads]]</f>
        <v>1372</v>
      </c>
      <c r="Y35" s="63"/>
    </row>
    <row r="36" spans="2:25" ht="47.25">
      <c r="B36" s="93" t="s">
        <v>299</v>
      </c>
      <c r="C36" s="77"/>
      <c r="D36" s="77" t="s">
        <v>51</v>
      </c>
      <c r="E36" s="77">
        <f>COUNTIF(Table2[Course Title],Table311[[#This Row],[Courses - Planned vs Need (Active Courses)]])</f>
        <v>15</v>
      </c>
      <c r="F36" s="77">
        <v>30</v>
      </c>
      <c r="G36" s="77">
        <f>Table311[[#This Row],[Course Offerings]]*Table311[[#This Row],[Quota per Offering]]</f>
        <v>450</v>
      </c>
      <c r="H36" s="77">
        <v>595</v>
      </c>
      <c r="I36" s="77">
        <f t="shared" si="0"/>
        <v>-145</v>
      </c>
      <c r="J36" s="80">
        <f t="shared" si="1"/>
        <v>0.75630252100840334</v>
      </c>
      <c r="K36" s="78">
        <f>SUMIF(Table2[Course Title],Table311[[#This Row],[Courses - Planned vs Need (Active Courses)]],Table2[Graduates])</f>
        <v>138</v>
      </c>
      <c r="L36" s="79">
        <f>SUMIF(Table2[Course Title],Table311[[#This Row],[Courses - Planned vs Need (Active Courses)]],Table2[No Shows])</f>
        <v>42</v>
      </c>
      <c r="M36" s="79">
        <f>SUMIFS(Table2[Quotas],Table2[Course Title],Table311[[#This Row],[Courses - Planned vs Need (Active Courses)]],Table2[Roster Status],0)-SUMIFS(Table2[Graduates],Table2[Course Title],Table311[[#This Row],[Courses - Planned vs Need (Active Courses)]],Table2[Roster Status],0)-SUMIFS(Table2[Fail],Table2[Course Title],Table311[[#This Row],[Courses - Planned vs Need (Active Courses)]],Table2[Roster Status],0)+Table311[[#This Row],[No Shows]]</f>
        <v>345</v>
      </c>
      <c r="N36" s="81">
        <f>ROUNDDOWN(Table311[[#This Row],[To date quotas unused (Open quotas+ no shows)]]/Table311[[#This Row],[Quota per Offering]],0)</f>
        <v>11</v>
      </c>
      <c r="O36" s="79">
        <f t="shared" si="2"/>
        <v>312</v>
      </c>
      <c r="P36" s="81">
        <f>COUNTIFS(Table2[Course Title],Table311[[#This Row],[Courses - Planned vs Need (Active Courses)]],Table2[Roster Status],"1",Table2[Remaining Courses],"0")</f>
        <v>0</v>
      </c>
      <c r="Q36" s="81">
        <f ca="1">COUNTIFS(Table2[Course Title],Table311[[#This Row],[Courses - Planned vs Need (Active Courses)]],Table2[Remaining Courses],"1")</f>
        <v>8</v>
      </c>
      <c r="R36" s="84">
        <f t="shared" si="3"/>
        <v>0.23193277310924371</v>
      </c>
      <c r="S36" s="84">
        <f ca="1">IFERROR((Table311[[#This Row],[Quota per Offering]]*(Table311[[#This Row],[Course Offerings]]-Table311[[#This Row],['# of course completion reports to be processed]]-Table311[[#This Row],['# of courses remaining]])-Table311[[#This Row],[To date quotas unused (Open quotas+ no shows)]])/(Table311[[#This Row],[Quota per Offering]]*(Table311[[#This Row],[Course Offerings]]-Table311[[#This Row],['# of course completion reports to be processed]]-Table311[[#This Row],['# of courses remaining]])),0)</f>
        <v>-0.6428571428571429</v>
      </c>
      <c r="T36" s="92">
        <f ca="1">IFERROR((Table311[[#This Row],[Quota per Offering]]*(Table311[[#This Row],[Course Offerings]]-Table311[[#This Row],['# of course completion reports to be processed]]-Table311[[#This Row],['# of courses remaining]])-Table311[[#This Row],[No Shows]])/(Table311[[#This Row],[Quota per Offering]]*(Table311[[#This Row],[Course Offerings]]-Table311[[#This Row],['# of course completion reports to be processed]]-Table311[[#This Row],['# of courses remaining]])),0)</f>
        <v>0.8</v>
      </c>
      <c r="U36" s="126">
        <v>38</v>
      </c>
      <c r="V36" s="126">
        <v>118</v>
      </c>
      <c r="W36" s="81">
        <f t="shared" ca="1" si="5"/>
        <v>240</v>
      </c>
      <c r="X36" s="81">
        <f>Table311[[#This Row],[Fleet Quota Need]]-Table311[[#This Row],[Total Grads]]</f>
        <v>457</v>
      </c>
      <c r="Y36" s="63"/>
    </row>
    <row r="37" spans="2:25" ht="31.5">
      <c r="B37" s="93" t="s">
        <v>38</v>
      </c>
      <c r="C37" s="77"/>
      <c r="D37" s="77" t="s">
        <v>50</v>
      </c>
      <c r="E37" s="77">
        <f>COUNTIF(Table2[Course Title],Table311[[#This Row],[Courses - Planned vs Need (Active Courses)]])</f>
        <v>21</v>
      </c>
      <c r="F37" s="77">
        <v>30</v>
      </c>
      <c r="G37" s="77">
        <f>Table311[[#This Row],[Course Offerings]]*Table311[[#This Row],[Quota per Offering]]</f>
        <v>630</v>
      </c>
      <c r="H37" s="77">
        <v>1181</v>
      </c>
      <c r="I37" s="77">
        <f t="shared" si="0"/>
        <v>-551</v>
      </c>
      <c r="J37" s="80">
        <f t="shared" si="1"/>
        <v>0.53344623200677388</v>
      </c>
      <c r="K37" s="78">
        <f>SUMIF(Table2[Course Title],Table311[[#This Row],[Courses - Planned vs Need (Active Courses)]],Table2[Graduates])</f>
        <v>231</v>
      </c>
      <c r="L37" s="79">
        <f>SUMIF(Table2[Course Title],Table311[[#This Row],[Courses - Planned vs Need (Active Courses)]],Table2[No Shows])</f>
        <v>44</v>
      </c>
      <c r="M37" s="79">
        <f>SUMIFS(Table2[Quotas],Table2[Course Title],Table311[[#This Row],[Courses - Planned vs Need (Active Courses)]],Table2[Roster Status],0)-SUMIFS(Table2[Graduates],Table2[Course Title],Table311[[#This Row],[Courses - Planned vs Need (Active Courses)]],Table2[Roster Status],0)-SUMIFS(Table2[Fail],Table2[Course Title],Table311[[#This Row],[Courses - Planned vs Need (Active Courses)]],Table2[Roster Status],0)+Table311[[#This Row],[No Shows]]</f>
        <v>443</v>
      </c>
      <c r="N37" s="81">
        <f>ROUNDDOWN(Table311[[#This Row],[To date quotas unused (Open quotas+ no shows)]]/Table311[[#This Row],[Quota per Offering]],0)</f>
        <v>14</v>
      </c>
      <c r="O37" s="79">
        <f t="shared" si="2"/>
        <v>399</v>
      </c>
      <c r="P37" s="81">
        <f>COUNTIFS(Table2[Course Title],Table311[[#This Row],[Courses - Planned vs Need (Active Courses)]],Table2[Roster Status],"1",Table2[Remaining Courses],"0")</f>
        <v>0</v>
      </c>
      <c r="Q37" s="81">
        <f ca="1">COUNTIFS(Table2[Course Title],Table311[[#This Row],[Courses - Planned vs Need (Active Courses)]],Table2[Remaining Courses],"1")</f>
        <v>10</v>
      </c>
      <c r="R37" s="84">
        <f t="shared" si="3"/>
        <v>0.19559695173581709</v>
      </c>
      <c r="S37" s="84">
        <f ca="1">IFERROR((Table311[[#This Row],[Quota per Offering]]*(Table311[[#This Row],[Course Offerings]]-Table311[[#This Row],['# of course completion reports to be processed]]-Table311[[#This Row],['# of courses remaining]])-Table311[[#This Row],[To date quotas unused (Open quotas+ no shows)]])/(Table311[[#This Row],[Quota per Offering]]*(Table311[[#This Row],[Course Offerings]]-Table311[[#This Row],['# of course completion reports to be processed]]-Table311[[#This Row],['# of courses remaining]])),0)</f>
        <v>-0.34242424242424241</v>
      </c>
      <c r="T37" s="92">
        <f ca="1">IFERROR((Table311[[#This Row],[Quota per Offering]]*(Table311[[#This Row],[Course Offerings]]-Table311[[#This Row],['# of course completion reports to be processed]]-Table311[[#This Row],['# of courses remaining]])-Table311[[#This Row],[No Shows]])/(Table311[[#This Row],[Quota per Offering]]*(Table311[[#This Row],[Course Offerings]]-Table311[[#This Row],['# of course completion reports to be processed]]-Table311[[#This Row],['# of courses remaining]])),0)</f>
        <v>0.8666666666666667</v>
      </c>
      <c r="U37" s="126">
        <v>22</v>
      </c>
      <c r="V37" s="126">
        <v>104</v>
      </c>
      <c r="W37" s="81">
        <f t="shared" ca="1" si="5"/>
        <v>300</v>
      </c>
      <c r="X37" s="81">
        <f>Table311[[#This Row],[Fleet Quota Need]]-Table311[[#This Row],[Total Grads]]</f>
        <v>950</v>
      </c>
      <c r="Y37" s="63"/>
    </row>
    <row r="38" spans="2:25" ht="31.5">
      <c r="B38" s="93" t="s">
        <v>312</v>
      </c>
      <c r="C38" s="77"/>
      <c r="D38" s="77" t="s">
        <v>51</v>
      </c>
      <c r="E38" s="77">
        <f>COUNTIF(Table2[Course Title],Table311[[#This Row],[Courses - Planned vs Need (Active Courses)]])</f>
        <v>16</v>
      </c>
      <c r="F38" s="77">
        <v>100</v>
      </c>
      <c r="G38" s="82">
        <f>Table311[[#This Row],[Course Offerings]]*Table311[[#This Row],[Quota per Offering]]</f>
        <v>1600</v>
      </c>
      <c r="H38" s="77">
        <v>1499</v>
      </c>
      <c r="I38" s="77">
        <f t="shared" si="0"/>
        <v>101</v>
      </c>
      <c r="J38" s="80">
        <f t="shared" si="1"/>
        <v>1.0673782521681121</v>
      </c>
      <c r="K38" s="78">
        <f>SUMIF(Table2[Course Title],Table311[[#This Row],[Courses - Planned vs Need (Active Courses)]],Table2[Graduates])</f>
        <v>601</v>
      </c>
      <c r="L38" s="79">
        <f>SUMIF(Table2[Course Title],Table311[[#This Row],[Courses - Planned vs Need (Active Courses)]],Table2[No Shows])</f>
        <v>102</v>
      </c>
      <c r="M38" s="79">
        <f>SUMIFS(Table2[Quotas],Table2[Course Title],Table311[[#This Row],[Courses - Planned vs Need (Active Courses)]],Table2[Roster Status],0)-SUMIFS(Table2[Graduates],Table2[Course Title],Table311[[#This Row],[Courses - Planned vs Need (Active Courses)]],Table2[Roster Status],0)-SUMIFS(Table2[Fail],Table2[Course Title],Table311[[#This Row],[Courses - Planned vs Need (Active Courses)]],Table2[Roster Status],0)+Table311[[#This Row],[No Shows]]</f>
        <v>1076</v>
      </c>
      <c r="N38" s="81">
        <f>ROUNDDOWN(Table311[[#This Row],[To date quotas unused (Open quotas+ no shows)]]/Table311[[#This Row],[Quota per Offering]],0)</f>
        <v>10</v>
      </c>
      <c r="O38" s="79">
        <f t="shared" si="2"/>
        <v>999</v>
      </c>
      <c r="P38" s="81">
        <f>COUNTIFS(Table2[Course Title],Table311[[#This Row],[Courses - Planned vs Need (Active Courses)]],Table2[Roster Status],"1",Table2[Remaining Courses],"0")</f>
        <v>0</v>
      </c>
      <c r="Q38" s="81">
        <f ca="1">COUNTIFS(Table2[Course Title],Table311[[#This Row],[Courses - Planned vs Need (Active Courses)]],Table2[Remaining Courses],"1")</f>
        <v>9</v>
      </c>
      <c r="R38" s="84">
        <f t="shared" si="3"/>
        <v>0.40093395597064707</v>
      </c>
      <c r="S38" s="84">
        <f ca="1">IFERROR((Table311[[#This Row],[Quota per Offering]]*(Table311[[#This Row],[Course Offerings]]-Table311[[#This Row],['# of course completion reports to be processed]]-Table311[[#This Row],['# of courses remaining]])-Table311[[#This Row],[To date quotas unused (Open quotas+ no shows)]])/(Table311[[#This Row],[Quota per Offering]]*(Table311[[#This Row],[Course Offerings]]-Table311[[#This Row],['# of course completion reports to be processed]]-Table311[[#This Row],['# of courses remaining]])),0)</f>
        <v>-0.53714285714285714</v>
      </c>
      <c r="T38" s="92">
        <f ca="1">IFERROR((Table311[[#This Row],[Quota per Offering]]*(Table311[[#This Row],[Course Offerings]]-Table311[[#This Row],['# of course completion reports to be processed]]-Table311[[#This Row],['# of courses remaining]])-Table311[[#This Row],[No Shows]])/(Table311[[#This Row],[Quota per Offering]]*(Table311[[#This Row],[Course Offerings]]-Table311[[#This Row],['# of course completion reports to be processed]]-Table311[[#This Row],['# of courses remaining]])),0)</f>
        <v>0.85428571428571431</v>
      </c>
      <c r="U38" s="121">
        <v>1</v>
      </c>
      <c r="V38" s="121">
        <v>544</v>
      </c>
      <c r="W38" s="81">
        <f t="shared" ca="1" si="5"/>
        <v>900</v>
      </c>
      <c r="X38" s="81">
        <f>Table311[[#This Row],[Fleet Quota Need]]-Table311[[#This Row],[Total Grads]]</f>
        <v>898</v>
      </c>
      <c r="Y38" s="62"/>
    </row>
    <row r="39" spans="2:25" ht="31.5">
      <c r="B39" s="93" t="s">
        <v>321</v>
      </c>
      <c r="C39" s="77"/>
      <c r="D39" s="77" t="s">
        <v>57</v>
      </c>
      <c r="E39" s="77">
        <f>COUNTIF(Table2[Course Title],Table311[[#This Row],[Courses - Planned vs Need (Active Courses)]])</f>
        <v>4</v>
      </c>
      <c r="F39" s="77">
        <v>25</v>
      </c>
      <c r="G39" s="82">
        <f>Table311[[#This Row],[Course Offerings]]*Table311[[#This Row],[Quota per Offering]]</f>
        <v>100</v>
      </c>
      <c r="H39" s="77">
        <v>58</v>
      </c>
      <c r="I39" s="77">
        <f t="shared" si="0"/>
        <v>42</v>
      </c>
      <c r="J39" s="80">
        <f t="shared" si="1"/>
        <v>1.7241379310344827</v>
      </c>
      <c r="K39" s="78">
        <f>SUMIF(Table2[Course Title],Table311[[#This Row],[Courses - Planned vs Need (Active Courses)]],Table2[Graduates])</f>
        <v>13</v>
      </c>
      <c r="L39" s="79">
        <f>SUMIF(Table2[Course Title],Table311[[#This Row],[Courses - Planned vs Need (Active Courses)]],Table2[No Shows])</f>
        <v>5</v>
      </c>
      <c r="M39" s="79">
        <f>SUMIFS(Table2[Quotas],Table2[Course Title],Table311[[#This Row],[Courses - Planned vs Need (Active Courses)]],Table2[Roster Status],0)-SUMIFS(Table2[Graduates],Table2[Course Title],Table311[[#This Row],[Courses - Planned vs Need (Active Courses)]],Table2[Roster Status],0)-SUMIFS(Table2[Fail],Table2[Course Title],Table311[[#This Row],[Courses - Planned vs Need (Active Courses)]],Table2[Roster Status],0)+Table311[[#This Row],[No Shows]]</f>
        <v>92</v>
      </c>
      <c r="N39" s="81">
        <f>ROUNDDOWN(Table311[[#This Row],[To date quotas unused (Open quotas+ no shows)]]/Table311[[#This Row],[Quota per Offering]],0)</f>
        <v>3</v>
      </c>
      <c r="O39" s="79">
        <f t="shared" si="2"/>
        <v>87</v>
      </c>
      <c r="P39" s="81">
        <f>COUNTIFS(Table2[Course Title],Table311[[#This Row],[Courses - Planned vs Need (Active Courses)]],Table2[Roster Status],"1",Table2[Remaining Courses],"0")</f>
        <v>0</v>
      </c>
      <c r="Q39" s="81">
        <f ca="1">COUNTIFS(Table2[Course Title],Table311[[#This Row],[Courses - Planned vs Need (Active Courses)]],Table2[Remaining Courses],"1")</f>
        <v>2</v>
      </c>
      <c r="R39" s="84">
        <f t="shared" si="3"/>
        <v>0.22413793103448276</v>
      </c>
      <c r="S39" s="84">
        <f ca="1">IFERROR((Table311[[#This Row],[Quota per Offering]]*(Table311[[#This Row],[Course Offerings]]-Table311[[#This Row],['# of course completion reports to be processed]]-Table311[[#This Row],['# of courses remaining]])-Table311[[#This Row],[To date quotas unused (Open quotas+ no shows)]])/(Table311[[#This Row],[Quota per Offering]]*(Table311[[#This Row],[Course Offerings]]-Table311[[#This Row],['# of course completion reports to be processed]]-Table311[[#This Row],['# of courses remaining]])),0)</f>
        <v>-0.84</v>
      </c>
      <c r="T39" s="92">
        <f ca="1">IFERROR((Table311[[#This Row],[Quota per Offering]]*(Table311[[#This Row],[Course Offerings]]-Table311[[#This Row],['# of course completion reports to be processed]]-Table311[[#This Row],['# of courses remaining]])-Table311[[#This Row],[No Shows]])/(Table311[[#This Row],[Quota per Offering]]*(Table311[[#This Row],[Course Offerings]]-Table311[[#This Row],['# of course completion reports to be processed]]-Table311[[#This Row],['# of courses remaining]])),0)</f>
        <v>0.9</v>
      </c>
      <c r="U39" s="121">
        <v>15</v>
      </c>
      <c r="V39" s="121">
        <v>25</v>
      </c>
      <c r="W39" s="81">
        <f t="shared" ca="1" si="5"/>
        <v>50</v>
      </c>
      <c r="X39" s="81">
        <f>Table311[[#This Row],[Fleet Quota Need]]-Table311[[#This Row],[Total Grads]]</f>
        <v>45</v>
      </c>
      <c r="Y39" s="62"/>
    </row>
    <row r="40" spans="2:25" ht="15.75">
      <c r="B40" s="106" t="s">
        <v>40</v>
      </c>
      <c r="C40" s="77" t="s">
        <v>53</v>
      </c>
      <c r="D40" s="77" t="s">
        <v>49</v>
      </c>
      <c r="E40" s="77">
        <f>COUNTIF(Table2[Course Title],Table311[[#This Row],[Courses - Planned vs Need (Active Courses)]])</f>
        <v>4</v>
      </c>
      <c r="F40" s="77">
        <v>25</v>
      </c>
      <c r="G40" s="77">
        <f>Table311[[#This Row],[Course Offerings]]*Table311[[#This Row],[Quota per Offering]]</f>
        <v>100</v>
      </c>
      <c r="H40" s="77">
        <v>126</v>
      </c>
      <c r="I40" s="77">
        <f t="shared" si="0"/>
        <v>-26</v>
      </c>
      <c r="J40" s="80">
        <f t="shared" si="1"/>
        <v>0.79365079365079361</v>
      </c>
      <c r="K40" s="78">
        <f>SUMIF(Table2[Course Title],Table311[[#This Row],[Courses - Planned vs Need (Active Courses)]],Table2[Graduates])</f>
        <v>25</v>
      </c>
      <c r="L40" s="79">
        <f>SUMIF(Table2[Course Title],Table311[[#This Row],[Courses - Planned vs Need (Active Courses)]],Table2[No Shows])</f>
        <v>8</v>
      </c>
      <c r="M40" s="79">
        <f>SUMIFS(Table2[Quotas],Table2[Course Title],Table311[[#This Row],[Courses - Planned vs Need (Active Courses)]],Table2[Roster Status],0)-SUMIFS(Table2[Graduates],Table2[Course Title],Table311[[#This Row],[Courses - Planned vs Need (Active Courses)]],Table2[Roster Status],0)-SUMIFS(Table2[Fail],Table2[Course Title],Table311[[#This Row],[Courses - Planned vs Need (Active Courses)]],Table2[Roster Status],0)+Table311[[#This Row],[No Shows]]</f>
        <v>83</v>
      </c>
      <c r="N40" s="81">
        <f>ROUNDDOWN(Table311[[#This Row],[To date quotas unused (Open quotas+ no shows)]]/Table311[[#This Row],[Quota per Offering]],0)</f>
        <v>3</v>
      </c>
      <c r="O40" s="79">
        <f t="shared" si="2"/>
        <v>75</v>
      </c>
      <c r="P40" s="81">
        <f>COUNTIFS(Table2[Course Title],Table311[[#This Row],[Courses - Planned vs Need (Active Courses)]],Table2[Roster Status],"1",Table2[Remaining Courses],"0")</f>
        <v>0</v>
      </c>
      <c r="Q40" s="81">
        <f ca="1">COUNTIFS(Table2[Course Title],Table311[[#This Row],[Courses - Planned vs Need (Active Courses)]],Table2[Remaining Courses],"1")</f>
        <v>3</v>
      </c>
      <c r="R40" s="84">
        <f t="shared" si="3"/>
        <v>0.1984126984126984</v>
      </c>
      <c r="S40" s="84">
        <f ca="1">IFERROR((Table311[[#This Row],[Quota per Offering]]*(Table311[[#This Row],[Course Offerings]]-Table311[[#This Row],['# of course completion reports to be processed]]-Table311[[#This Row],['# of courses remaining]])-Table311[[#This Row],[To date quotas unused (Open quotas+ no shows)]])/(Table311[[#This Row],[Quota per Offering]]*(Table311[[#This Row],[Course Offerings]]-Table311[[#This Row],['# of course completion reports to be processed]]-Table311[[#This Row],['# of courses remaining]])),0)</f>
        <v>-2.3199999999999998</v>
      </c>
      <c r="T40" s="92">
        <f ca="1">IFERROR((Table311[[#This Row],[Quota per Offering]]*(Table311[[#This Row],[Course Offerings]]-Table311[[#This Row],['# of course completion reports to be processed]]-Table311[[#This Row],['# of courses remaining]])-Table311[[#This Row],[No Shows]])/(Table311[[#This Row],[Quota per Offering]]*(Table311[[#This Row],[Course Offerings]]-Table311[[#This Row],['# of course completion reports to be processed]]-Table311[[#This Row],['# of courses remaining]])),0)</f>
        <v>0.68</v>
      </c>
      <c r="U40" s="127">
        <v>0</v>
      </c>
      <c r="V40" s="127">
        <v>0</v>
      </c>
      <c r="W40" s="83">
        <f t="shared" ca="1" si="5"/>
        <v>75</v>
      </c>
      <c r="X40" s="81">
        <f>Table311[[#This Row],[Fleet Quota Need]]-Table311[[#This Row],[Total Grads]]</f>
        <v>101</v>
      </c>
      <c r="Y40" s="69"/>
    </row>
    <row r="41" spans="2:25" ht="15.75">
      <c r="B41" s="96" t="s">
        <v>58</v>
      </c>
      <c r="C41" s="97"/>
      <c r="D41" s="97"/>
      <c r="E41" s="97">
        <f>SUM(Table311[Course Offerings])</f>
        <v>437</v>
      </c>
      <c r="F41" s="98">
        <f>SUM(Table311[Quota per Offering])</f>
        <v>1235</v>
      </c>
      <c r="G41" s="98">
        <f>SUM(Table311[Planned Quotas])</f>
        <v>16175</v>
      </c>
      <c r="H41" s="98">
        <f>SUM(Table311[Fleet Quota Need])</f>
        <v>26845</v>
      </c>
      <c r="I41" s="97">
        <f>SUM(Table311[Difference])</f>
        <v>-10670</v>
      </c>
      <c r="J41" s="100">
        <f>G41/H41</f>
        <v>0.60253306016017882</v>
      </c>
      <c r="K41" s="98">
        <f>SUM(Table311[Total Grads])</f>
        <v>4881</v>
      </c>
      <c r="L41" s="98">
        <f>SUM(Table311[No Shows])</f>
        <v>917</v>
      </c>
      <c r="M41" s="98">
        <f>SUM(Table311[To date quotas unused (Open quotas+ no shows)])</f>
        <v>12152</v>
      </c>
      <c r="N41" s="98">
        <f>SUM(Table311[Sunk Courses due to unused quotas todate])</f>
        <v>317</v>
      </c>
      <c r="O41" s="98">
        <f>SUM(Table311[Grads needed this FY towards planned quotas])</f>
        <v>11294</v>
      </c>
      <c r="P41" s="98">
        <f>SUM(Table311['# of course completion reports to be processed])</f>
        <v>0</v>
      </c>
      <c r="Q41" s="98">
        <f ca="1">SUM(Table311['# of courses remaining])</f>
        <v>239</v>
      </c>
      <c r="R41" s="101">
        <f>K41/H41</f>
        <v>0.18182156826224624</v>
      </c>
      <c r="S41" s="101">
        <f>'%'!F7</f>
        <v>0.74944356120826705</v>
      </c>
      <c r="T41" s="101">
        <f>'%'!F8</f>
        <v>0.88950715421303661</v>
      </c>
      <c r="U41" s="99">
        <f>SUM(Table311[Remaining Open Quotas FY24 QTR 3])</f>
        <v>1151</v>
      </c>
      <c r="V41" s="99">
        <f>SUM(Table311[Remaining Open Quotas FY24 QTR 4])</f>
        <v>4828</v>
      </c>
      <c r="W41" s="99">
        <f ca="1">SUM(Table311['# of additional grads if all quotas are filled of course results remaining to be processed])</f>
        <v>8723</v>
      </c>
      <c r="X41" s="99">
        <f>SUM(Table311[Difference between completed and fleet need of completed, potentially remaining quotas, and processed courses])</f>
        <v>21964</v>
      </c>
      <c r="Y41" s="99"/>
    </row>
  </sheetData>
  <mergeCells count="3">
    <mergeCell ref="B3:J3"/>
    <mergeCell ref="K3:R3"/>
    <mergeCell ref="U3:Y3"/>
  </mergeCells>
  <conditionalFormatting sqref="C5:I40 K5:L40 O5:R40 W5:X40">
    <cfRule type="cellIs" dxfId="909" priority="6" operator="lessThan">
      <formula>0</formula>
    </cfRule>
  </conditionalFormatting>
  <conditionalFormatting sqref="J5:J40 R5:R40">
    <cfRule type="cellIs" dxfId="908" priority="5" operator="lessThan">
      <formula>1</formula>
    </cfRule>
  </conditionalFormatting>
  <conditionalFormatting sqref="U5:V40">
    <cfRule type="cellIs" dxfId="907" priority="1" operator="greaterThan">
      <formula>0</formula>
    </cfRule>
  </conditionalFormatting>
  <dataValidations count="1">
    <dataValidation type="list" allowBlank="1" showInputMessage="1" showErrorMessage="1" sqref="B5:B40" xr:uid="{00000000-0002-0000-0000-000000000000}">
      <formula1>Class</formula1>
    </dataValidation>
  </dataValidations>
  <pageMargins left="0.25" right="0.25" top="0.75" bottom="0.75" header="0.3" footer="0.3"/>
  <pageSetup paperSize="5" scale="47" orientation="landscape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514C7FA5466C94E8517B32B1AE5CACC" ma:contentTypeVersion="8" ma:contentTypeDescription="Create a new document." ma:contentTypeScope="" ma:versionID="c460c2c8bdbef585d0dd74f48c9bab19">
  <xsd:schema xmlns:xsd="http://www.w3.org/2001/XMLSchema" xmlns:xs="http://www.w3.org/2001/XMLSchema" xmlns:p="http://schemas.microsoft.com/office/2006/metadata/properties" xmlns:ns2="3898f6d4-6cb0-4920-8d93-0dc904493100" targetNamespace="http://schemas.microsoft.com/office/2006/metadata/properties" ma:root="true" ma:fieldsID="80703ff1cd77d7f3d1b05ac9a79fd7e0" ns2:_="">
    <xsd:import namespace="3898f6d4-6cb0-4920-8d93-0dc90449310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898f6d4-6cb0-4920-8d93-0dc904493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DateTaken" ma:index="11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1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CBEE3DD-688F-43CC-82E9-CDBAA99AEC77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BD7AA037-0C6E-4E4C-AEA2-4C281CFC06C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8EF0B72-28F0-4EAA-8E88-7C8117EAFEF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898f6d4-6cb0-4920-8d93-0dc904493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11</vt:i4>
      </vt:variant>
    </vt:vector>
  </HeadingPairs>
  <TitlesOfParts>
    <vt:vector size="25" baseType="lpstr">
      <vt:lpstr>Sheet1</vt:lpstr>
      <vt:lpstr>Course Counts</vt:lpstr>
      <vt:lpstr>Plan vs Need v1</vt:lpstr>
      <vt:lpstr>Instructor Totals- Days</vt:lpstr>
      <vt:lpstr>Instructor Totals-Weeks</vt:lpstr>
      <vt:lpstr>Location Count</vt:lpstr>
      <vt:lpstr>Data</vt:lpstr>
      <vt:lpstr>Sheet2</vt:lpstr>
      <vt:lpstr>FY24 Status</vt:lpstr>
      <vt:lpstr>Sheet3</vt:lpstr>
      <vt:lpstr>Bi-Weekly</vt:lpstr>
      <vt:lpstr>%</vt:lpstr>
      <vt:lpstr>FY24 Canceled</vt:lpstr>
      <vt:lpstr>FY 2024 Chron</vt:lpstr>
      <vt:lpstr>CIN</vt:lpstr>
      <vt:lpstr>Class</vt:lpstr>
      <vt:lpstr>Courses</vt:lpstr>
      <vt:lpstr>Instructor</vt:lpstr>
      <vt:lpstr>Location</vt:lpstr>
      <vt:lpstr>'FY 2024 Chron'!Print_Area</vt:lpstr>
      <vt:lpstr>'FY24 Status'!Print_Area</vt:lpstr>
      <vt:lpstr>'Instructor Totals- Days'!Print_Area</vt:lpstr>
      <vt:lpstr>'Instructor Totals-Weeks'!Print_Area</vt:lpstr>
      <vt:lpstr>'Plan vs Need v1'!Print_Area</vt:lpstr>
      <vt:lpstr>Roster</vt:lpstr>
    </vt:vector>
  </TitlesOfParts>
  <Manager/>
  <Company>HPES NMCI NGEN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McQueen, Jennifer A CIV NAVOSHENVTRACEN, N7TS4</dc:creator>
  <cp:keywords/>
  <dc:description/>
  <cp:lastModifiedBy>Benzick, Susanne R CIV USN NAVSAFENVTRACEN NOR (USA)</cp:lastModifiedBy>
  <cp:revision/>
  <dcterms:created xsi:type="dcterms:W3CDTF">2020-09-15T15:26:38Z</dcterms:created>
  <dcterms:modified xsi:type="dcterms:W3CDTF">2024-04-17T10:56:57Z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0x0101000514C7FA5466C94E8517B32B1AE5CACC</vt:lpwstr>
  </property>
</Properties>
</file>